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55" windowHeight="8700" tabRatio="929" activeTab="9"/>
  </bookViews>
  <sheets>
    <sheet name="Налоговый потен" sheetId="1" r:id="rId1"/>
    <sheet name="Коэф.масшт." sheetId="2" r:id="rId2"/>
    <sheet name="Коэф.дисп" sheetId="3" r:id="rId3"/>
    <sheet name="Расчет доли " sheetId="4" r:id="rId4"/>
    <sheet name="ИБР" sheetId="5" r:id="rId5"/>
    <sheet name="БО" sheetId="6" r:id="rId6"/>
    <sheet name="ДП" sheetId="7" r:id="rId7"/>
    <sheet name="ИДП" sheetId="8" r:id="rId8"/>
    <sheet name="субв от числ уточ" sheetId="9" r:id="rId9"/>
    <sheet name="Дотац 4000" sheetId="10" r:id="rId10"/>
    <sheet name="РФФПП" sheetId="11" r:id="rId11"/>
    <sheet name="Дотация 2020-2022" sheetId="12" r:id="rId12"/>
  </sheets>
  <definedNames>
    <definedName name="_xlnm.Print_Area" localSheetId="4">'ИБР'!$A$1:$R$19</definedName>
    <definedName name="_xlnm.Print_Area" localSheetId="2">'Коэф.дисп'!$A$1:$D$94</definedName>
    <definedName name="_xlnm.Print_Area" localSheetId="0">'Налоговый потен'!$A$1:$M$17</definedName>
  </definedNames>
  <calcPr fullCalcOnLoad="1"/>
</workbook>
</file>

<file path=xl/sharedStrings.xml><?xml version="1.0" encoding="utf-8"?>
<sst xmlns="http://schemas.openxmlformats.org/spreadsheetml/2006/main" count="421" uniqueCount="207">
  <si>
    <t>№п/п</t>
  </si>
  <si>
    <t>Наименование поселения</t>
  </si>
  <si>
    <t xml:space="preserve">Средняя численность </t>
  </si>
  <si>
    <t>Чердаклинское городское поселение</t>
  </si>
  <si>
    <t>Октябрьское городское поселение</t>
  </si>
  <si>
    <t>Бряндинское сельское поселение</t>
  </si>
  <si>
    <t>Богдашкинское сельское поселение</t>
  </si>
  <si>
    <t>Озерское сельское поселение</t>
  </si>
  <si>
    <t>Белоярское сельское поселение</t>
  </si>
  <si>
    <t>Калмаюрское сельское поселение</t>
  </si>
  <si>
    <t>Красноярское сельское поселение</t>
  </si>
  <si>
    <t>Мирновское сельское поселение</t>
  </si>
  <si>
    <t>Численность поселения (чел.)</t>
  </si>
  <si>
    <t>Всего расходов</t>
  </si>
  <si>
    <t>ВСЕГО</t>
  </si>
  <si>
    <t>Наименование</t>
  </si>
  <si>
    <t>№</t>
  </si>
  <si>
    <t>с.Енганаево</t>
  </si>
  <si>
    <t>пос.Первомайский</t>
  </si>
  <si>
    <t>пос.Пятисотенный</t>
  </si>
  <si>
    <t>с.Абдуллово</t>
  </si>
  <si>
    <t>с.Асаново</t>
  </si>
  <si>
    <t>пос.Новый Суходол</t>
  </si>
  <si>
    <t>р.п.Чердаклы (адм.центр)</t>
  </si>
  <si>
    <t>с.Бряндино (адм. центр)</t>
  </si>
  <si>
    <t>р.п.Октябрьский (адм. центр)</t>
  </si>
  <si>
    <t>с.Ст.Бряндино</t>
  </si>
  <si>
    <t>с.Ст.Еремкино</t>
  </si>
  <si>
    <t>пос.Борисовка</t>
  </si>
  <si>
    <t>пос.Победитель</t>
  </si>
  <si>
    <t>разъезд Путевой</t>
  </si>
  <si>
    <t>с.Богдашкино (адм.центр)</t>
  </si>
  <si>
    <t>с.Петровское</t>
  </si>
  <si>
    <t>с.Войкино</t>
  </si>
  <si>
    <t>с.Ст.Матюшкино</t>
  </si>
  <si>
    <t>с.Новое Матюшкино</t>
  </si>
  <si>
    <t>разъезд Уренбаш</t>
  </si>
  <si>
    <t>с.Озерки (адм.центр)</t>
  </si>
  <si>
    <t>д.Рузаны</t>
  </si>
  <si>
    <t>с.Старый Уренбаш</t>
  </si>
  <si>
    <t>с.Суходол</t>
  </si>
  <si>
    <t>с.Новый Белый Яр (адм.центр)</t>
  </si>
  <si>
    <t>с.Ст.Белый Яр</t>
  </si>
  <si>
    <t>п.Вислая Дубрава</t>
  </si>
  <si>
    <t>с.Поповка</t>
  </si>
  <si>
    <t>с.Камышовка</t>
  </si>
  <si>
    <t>с.Коровино</t>
  </si>
  <si>
    <t>с.Уразгильдино</t>
  </si>
  <si>
    <t>с.Андреевка</t>
  </si>
  <si>
    <t>с.Татарский Калмаюр (адм.центр)</t>
  </si>
  <si>
    <t>с.Чувашский Калмаюр</t>
  </si>
  <si>
    <t>Крестово-Городищенское сельское поселение</t>
  </si>
  <si>
    <t>с.Крестово-Городище (адм.центр)</t>
  </si>
  <si>
    <t>пос.Колхозный (адм.центр)</t>
  </si>
  <si>
    <t>с.Красный Яр</t>
  </si>
  <si>
    <t>пос.Мирный (адм.центр)</t>
  </si>
  <si>
    <t>с.Архангельское</t>
  </si>
  <si>
    <t>пос.Лощина</t>
  </si>
  <si>
    <t>с.Малаевка</t>
  </si>
  <si>
    <t>Дотация из ОФК</t>
  </si>
  <si>
    <t>Коэффициент дисперсности расселения</t>
  </si>
  <si>
    <t>Коэффициент масштаба(0,6*числ.пос+0,4*сред числ)/числен посел</t>
  </si>
  <si>
    <t>п. Лесная быль</t>
  </si>
  <si>
    <t>Всего по району</t>
  </si>
  <si>
    <t>пос.Белая Рыбка</t>
  </si>
  <si>
    <t xml:space="preserve">Формирование, утверждение, исполнение бюджета и конторль за исполнением данного бюджета </t>
  </si>
  <si>
    <t>ЖКХ</t>
  </si>
  <si>
    <t>Коэффициент масштаба</t>
  </si>
  <si>
    <t>ВСЕГО по району</t>
  </si>
  <si>
    <t>Коэффициент дисперсности</t>
  </si>
  <si>
    <t>Формирование, утверждение, исполнение бюджета</t>
  </si>
  <si>
    <t>Культура</t>
  </si>
  <si>
    <t xml:space="preserve">Прочие расходы </t>
  </si>
  <si>
    <t>Доля, %</t>
  </si>
  <si>
    <t>Численность (чел.)</t>
  </si>
  <si>
    <t>Прочие расходы на решение вопросов местного значения</t>
  </si>
  <si>
    <t>Всего ИБР (гр5+гр9+гр14+гр18)</t>
  </si>
  <si>
    <t>Доходный потенциал, тыс.руб. ДП</t>
  </si>
  <si>
    <t>Индекс доходного потенциала ИДП (гр4/гр3)/(гр4мр/гр3мр)</t>
  </si>
  <si>
    <t>Налоговый потенциал всего НП</t>
  </si>
  <si>
    <t>Индекс доходного потенциала поселений ИДП</t>
  </si>
  <si>
    <t>Индекс бюджетных расходов поселений ИБР</t>
  </si>
  <si>
    <t>Уровень расчетной бюджетной обеспеченности БО (гр2/гр3)</t>
  </si>
  <si>
    <t>Индекс бюджетных расходов ИБР</t>
  </si>
  <si>
    <t>Увеличение   ( + ), уменьшение  ( - )</t>
  </si>
  <si>
    <t>Дотация из РФК</t>
  </si>
  <si>
    <t>Субвенции из областного бюджета</t>
  </si>
  <si>
    <t>4а</t>
  </si>
  <si>
    <t>НП НДФЛ</t>
  </si>
  <si>
    <t>земельный налог</t>
  </si>
  <si>
    <t>Налог на имущество физ лиц</t>
  </si>
  <si>
    <t>БНпос/БН</t>
  </si>
  <si>
    <t>средний уровень расчетной бюджетной обеспеченности У1</t>
  </si>
  <si>
    <t>средний У1</t>
  </si>
  <si>
    <t>Первая часть дотации (гр7*П)</t>
  </si>
  <si>
    <t>первая часть дотации</t>
  </si>
  <si>
    <t>с учетом первой части дотации и субвенций</t>
  </si>
  <si>
    <t>субвенции</t>
  </si>
  <si>
    <t xml:space="preserve">Доходный потенциал ДП </t>
  </si>
  <si>
    <t>Уровень бюджетной обеспеченности БО для распределения первой части дотации</t>
  </si>
  <si>
    <t>Объем средств, необходимый для доведения расчетной бюджетной обеспеченности j-го поселения  до второго среднего уровня расчетной бюджетной обеспеченности Т2j=</t>
  </si>
  <si>
    <t>с учетом первой, второй  части дотации и субвенций</t>
  </si>
  <si>
    <t>вторая часть дотации</t>
  </si>
  <si>
    <t>с учетом первой, второй части дотации и субвенций</t>
  </si>
  <si>
    <t>Вторая часть дотации</t>
  </si>
  <si>
    <t>Доходный потенциал</t>
  </si>
  <si>
    <t>с учетом налогового потенциала и  субвенций</t>
  </si>
  <si>
    <t>с учетом субвенций</t>
  </si>
  <si>
    <t>Объем средств, необходимый для доведения расчетной бюджетной обеспеченности j-го поселения  до среднего уровня расчетной бюджетной обеспеченности (гр4мр/гр3мр)*(У1-гр6)*гр5*гр3</t>
  </si>
  <si>
    <t>с учетом субвенций и первой части дотации</t>
  </si>
  <si>
    <t>Уровень расчетной бюджетной обеспеченности БО1</t>
  </si>
  <si>
    <t>Уровень бюджетной обеспеченности БО1 для распределения второй части дотации</t>
  </si>
  <si>
    <t>У2</t>
  </si>
  <si>
    <t>с учетом налогового потенциала, первой, второй части дотации и субвенций</t>
  </si>
  <si>
    <t>Прогноз налоговых, неналоговых доходов, субвенций, 1 части дотации ПДпмр</t>
  </si>
  <si>
    <t>разница</t>
  </si>
  <si>
    <t>Всего дотации</t>
  </si>
  <si>
    <t>Всего доходов собственных, дотации из областного и местного бюджета</t>
  </si>
  <si>
    <t>с учетом налогового потенциала, первой части дотации и субвенций</t>
  </si>
  <si>
    <t>Единный норматив отчислений в бюджеты поселений налога, %</t>
  </si>
  <si>
    <t>2018г.</t>
  </si>
  <si>
    <t>2019г.</t>
  </si>
  <si>
    <t>Всего дотации из местного бюджета на 2019г.</t>
  </si>
  <si>
    <t>Всего дотации из местного бюджета на 2018</t>
  </si>
  <si>
    <t>разница 2019-2018</t>
  </si>
  <si>
    <t>Всего дотации из областного и местного бюджетов на 2019г.</t>
  </si>
  <si>
    <t>Всего собственных и дотаций 2019г. На 1 человека, руб.</t>
  </si>
  <si>
    <t>Всего налоговый потенциал, дотации на 2019г.</t>
  </si>
  <si>
    <t>Всего налоговый потенциал, дотации на 2019г. На 1 человека, руб.</t>
  </si>
  <si>
    <t>НП зем налог на 2019г</t>
  </si>
  <si>
    <t>НП на 2019г.</t>
  </si>
  <si>
    <t>План на 01.10.2018</t>
  </si>
  <si>
    <t>Количество жителей на 01.01.2018г.</t>
  </si>
  <si>
    <t>2020г.</t>
  </si>
  <si>
    <t>Новомайнское г/поселение</t>
  </si>
  <si>
    <t>Мулловское г/поселение</t>
  </si>
  <si>
    <t>Лебяжинское с/поселение</t>
  </si>
  <si>
    <t>Старосахчинское с/поселение</t>
  </si>
  <si>
    <t>Тиинское с/поселение</t>
  </si>
  <si>
    <t>Новоселкинское с/поселение</t>
  </si>
  <si>
    <t>Николочеремшанское с/поселение</t>
  </si>
  <si>
    <t>Рязановское с/поселение</t>
  </si>
  <si>
    <t>Расчет коэффициента дисперсности по поселениям, расположенным на территории муниципального образования «Мелекесский район» Ульяновской области на 2020 год</t>
  </si>
  <si>
    <t>Расчет коэффициента масштаба по поселениям, расположенным на территории муниципального образования «Мелекесский район» Ульяновской области на 2020 год</t>
  </si>
  <si>
    <t>Определение доли расходов на 2020г.  исходя из фактического расхода без субвенций и субсидий</t>
  </si>
  <si>
    <t>2016г.</t>
  </si>
  <si>
    <t>2017г.</t>
  </si>
  <si>
    <t>Всего за 3 года</t>
  </si>
  <si>
    <t>Средняя за 3 года</t>
  </si>
  <si>
    <t>Налоговый потенциал на 2020г.</t>
  </si>
  <si>
    <t>Прогноз собственных доходов на 2020г.</t>
  </si>
  <si>
    <t xml:space="preserve">НДФЛ план на 01.10.2019г </t>
  </si>
  <si>
    <t>Зем налог план на 01.10.2019</t>
  </si>
  <si>
    <t>ВСЕГО НП на 2020г.</t>
  </si>
  <si>
    <t>НП ндфл на 2020г. (=ПДпосел конс*Норм*(Бнпос/Бнконс пос)</t>
  </si>
  <si>
    <t>РФФПП 2020г.</t>
  </si>
  <si>
    <t xml:space="preserve">Уровень расчетной бюджетной обеспеченности поселений, расположенных на территории муниципального образования «Мелекесский район» Ульяновской области на 2020 год </t>
  </si>
  <si>
    <t xml:space="preserve">Расчет индекса бюджетных расходов поселений, расположенных на территории муниципального образования «Мелекесский район» Ульяновской области на 2020 год </t>
  </si>
  <si>
    <t>Расчет доходного потенциала поселений, расположенных на территории муниципального образования «Мелекесский район» Ульяновской области на 2020 год</t>
  </si>
  <si>
    <t>степень отставания 0,1</t>
  </si>
  <si>
    <t xml:space="preserve">Фактические расходы за счет собственных средств, кроме КОСГУ 251 </t>
  </si>
  <si>
    <t>Расходы, т.р.</t>
  </si>
  <si>
    <t>2016 год</t>
  </si>
  <si>
    <t>2017 год</t>
  </si>
  <si>
    <t>2018 год</t>
  </si>
  <si>
    <t>Итого за 3 года</t>
  </si>
  <si>
    <t>средняя за 3 года</t>
  </si>
  <si>
    <t>Органы местного самоуправления</t>
  </si>
  <si>
    <t>Содержание ЖКХ</t>
  </si>
  <si>
    <t>Содержание объектов культуры</t>
  </si>
  <si>
    <t>Прочие расходы</t>
  </si>
  <si>
    <t>Содержание пожарных депо</t>
  </si>
  <si>
    <t>Итого расходов</t>
  </si>
  <si>
    <t>ИБР ((гр3*гр4/гр3)/(гр3мр*гр4мр/гр3мр))*25,2/100</t>
  </si>
  <si>
    <t>ИБР (гр6*гр7*гр8/гр6)/(гр6мр*гр7мр*гр8мр/г6мр))*19,7/100</t>
  </si>
  <si>
    <t>ИБР (на 14,7 %)</t>
  </si>
  <si>
    <t>ИБР (40,4%)</t>
  </si>
  <si>
    <t>2020 год</t>
  </si>
  <si>
    <t>2022 год</t>
  </si>
  <si>
    <t>2021 год</t>
  </si>
  <si>
    <t>2019 год</t>
  </si>
  <si>
    <t>Расчет налогового потенциала поселений, расположенных на территории муниципального образования «Мелекесский район» Ульяновской области на 2020 год</t>
  </si>
  <si>
    <t>Таблица 1</t>
  </si>
  <si>
    <t>Таблица 2</t>
  </si>
  <si>
    <t>Таблица 3</t>
  </si>
  <si>
    <t>Таблица 4</t>
  </si>
  <si>
    <t>Таблица 5</t>
  </si>
  <si>
    <t>Таблица 6</t>
  </si>
  <si>
    <t>Таблица 7</t>
  </si>
  <si>
    <t>Таблица 8</t>
  </si>
  <si>
    <t>Расчет индекса доходного потенциала поселений, расположенных на территории муниципального образования «Мелекесский район» Ульяновской области на 2020 год</t>
  </si>
  <si>
    <t>Таблица 9</t>
  </si>
  <si>
    <t>Расчет дотации из фонда финансовой поддержки поселений, расположенных на территории муниципального образования «Мелекесский район» Ульяновской области на 2020 год</t>
  </si>
  <si>
    <t>Таблица 10</t>
  </si>
  <si>
    <t>Дотация из районного фонда финансовой поддержки поселений, расположенных на территории муниципального образования «Мелекесский район» Ульяновской области на 2020 год</t>
  </si>
  <si>
    <t>Таблица 11</t>
  </si>
  <si>
    <t>Таблица 12</t>
  </si>
  <si>
    <t>Прогнозные показатели дотации на выравнивание бюджетной обеспеченности поселений Мелекесского района на 2020-2022 года</t>
  </si>
  <si>
    <t>Расчет дотации из районного фонда финансовой поддержки поселений за счет субвенций из областного фонда компенсаций на 2020-2022 годы</t>
  </si>
  <si>
    <t>Сумма дотации из субвенций на 2020 год (тыс. руб.)</t>
  </si>
  <si>
    <t>Сумма дотации из субвенций на 2021 год (тыс. руб.)</t>
  </si>
  <si>
    <t>Сумма дотации из субвенций на 2022 год (тыс. руб.)</t>
  </si>
  <si>
    <t>Наименование муниципальных образований</t>
  </si>
  <si>
    <t xml:space="preserve">Дотация на выравнивание бюджетной обеспеченности поселений за счет субвенций из областного фонда </t>
  </si>
  <si>
    <t>Дотация на выравнивание бюджетной обеспеченности поселений из бюджета муниципального района</t>
  </si>
  <si>
    <t>№ п/п</t>
  </si>
  <si>
    <t>тыс.руб.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</si>
</sst>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#,##0.0"/>
    <numFmt numFmtId="175" formatCode="0.0000"/>
    <numFmt numFmtId="176" formatCode="_-* #,##0_р_._-;\-* #,##0_р_._-;_-* &quot;-&quot;??_р_._-;_-@_-"/>
    <numFmt numFmtId="177" formatCode="#,##0.00_ ;\-#,##0.0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00"/>
    <numFmt numFmtId="183" formatCode="#,##0.00&quot;р.&quot;"/>
    <numFmt numFmtId="184" formatCode="#,##0.000"/>
    <numFmt numFmtId="185" formatCode="0.00000000000000"/>
    <numFmt numFmtId="186" formatCode="#,##0.0000000000000"/>
    <numFmt numFmtId="187" formatCode="#,##0.00000"/>
    <numFmt numFmtId="188" formatCode="0.00000000000"/>
    <numFmt numFmtId="189" formatCode="0.0000000000000"/>
    <numFmt numFmtId="190" formatCode="#,##0.00000000000"/>
    <numFmt numFmtId="191" formatCode="0.00000"/>
    <numFmt numFmtId="192" formatCode="#,##0.000000000000"/>
    <numFmt numFmtId="193" formatCode="#,##0.000000"/>
  </numFmts>
  <fonts count="62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i/>
      <u val="single"/>
      <sz val="10"/>
      <name val="Arial Cyr"/>
      <family val="0"/>
    </font>
    <font>
      <b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b/>
      <sz val="8"/>
      <name val="Arial Cyr"/>
      <family val="0"/>
    </font>
    <font>
      <b/>
      <sz val="14"/>
      <name val="Times New Roman"/>
      <family val="1"/>
    </font>
    <font>
      <b/>
      <sz val="14"/>
      <name val="PT Astra Serif"/>
      <family val="1"/>
    </font>
    <font>
      <b/>
      <sz val="10"/>
      <name val="PT Astra Serif"/>
      <family val="1"/>
    </font>
    <font>
      <sz val="10"/>
      <name val="PT Astra Serif"/>
      <family val="1"/>
    </font>
    <font>
      <i/>
      <sz val="10"/>
      <name val="PT Astra Serif"/>
      <family val="1"/>
    </font>
    <font>
      <sz val="10"/>
      <name val="Times New Roman"/>
      <family val="1"/>
    </font>
    <font>
      <sz val="12"/>
      <name val="PT Astra Serif"/>
      <family val="1"/>
    </font>
    <font>
      <b/>
      <sz val="12"/>
      <name val="PT Astra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i/>
      <sz val="10"/>
      <color indexed="8"/>
      <name val="Calibri"/>
      <family val="2"/>
    </font>
    <font>
      <sz val="10"/>
      <color indexed="8"/>
      <name val="Calibri"/>
      <family val="2"/>
    </font>
    <font>
      <i/>
      <sz val="10"/>
      <color indexed="10"/>
      <name val="PT Astra Serif"/>
      <family val="1"/>
    </font>
    <font>
      <b/>
      <sz val="10"/>
      <color indexed="8"/>
      <name val="PT Astra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Calibri"/>
      <family val="2"/>
    </font>
    <font>
      <i/>
      <sz val="10"/>
      <color rgb="FF000000"/>
      <name val="Calibri"/>
      <family val="2"/>
    </font>
    <font>
      <sz val="10"/>
      <color rgb="FF000000"/>
      <name val="Calibri"/>
      <family val="2"/>
    </font>
    <font>
      <i/>
      <sz val="10"/>
      <color rgb="FFFF0000"/>
      <name val="PT Astra Serif"/>
      <family val="1"/>
    </font>
    <font>
      <b/>
      <sz val="10"/>
      <color rgb="FF000000"/>
      <name val="PT Astra Serif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8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172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4" fillId="0" borderId="10" xfId="0" applyFont="1" applyBorder="1" applyAlignment="1">
      <alignment wrapText="1"/>
    </xf>
    <xf numFmtId="2" fontId="2" fillId="0" borderId="10" xfId="0" applyNumberFormat="1" applyFont="1" applyBorder="1" applyAlignment="1">
      <alignment/>
    </xf>
    <xf numFmtId="0" fontId="0" fillId="0" borderId="10" xfId="0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2" fontId="0" fillId="0" borderId="0" xfId="0" applyNumberFormat="1" applyAlignment="1">
      <alignment/>
    </xf>
    <xf numFmtId="172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1" fontId="2" fillId="0" borderId="10" xfId="0" applyNumberFormat="1" applyFont="1" applyBorder="1" applyAlignment="1">
      <alignment/>
    </xf>
    <xf numFmtId="0" fontId="0" fillId="0" borderId="11" xfId="0" applyBorder="1" applyAlignment="1">
      <alignment horizontal="center" wrapText="1"/>
    </xf>
    <xf numFmtId="2" fontId="2" fillId="0" borderId="0" xfId="0" applyNumberFormat="1" applyFont="1" applyAlignment="1">
      <alignment/>
    </xf>
    <xf numFmtId="0" fontId="2" fillId="0" borderId="0" xfId="0" applyFont="1" applyAlignment="1">
      <alignment/>
    </xf>
    <xf numFmtId="172" fontId="0" fillId="0" borderId="0" xfId="0" applyNumberFormat="1" applyAlignment="1">
      <alignment/>
    </xf>
    <xf numFmtId="0" fontId="2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1" fontId="2" fillId="0" borderId="0" xfId="0" applyNumberFormat="1" applyFont="1" applyAlignment="1">
      <alignment horizontal="center" wrapText="1"/>
    </xf>
    <xf numFmtId="1" fontId="0" fillId="0" borderId="0" xfId="0" applyNumberFormat="1" applyAlignment="1">
      <alignment/>
    </xf>
    <xf numFmtId="2" fontId="0" fillId="0" borderId="10" xfId="0" applyNumberFormat="1" applyFill="1" applyBorder="1" applyAlignment="1">
      <alignment wrapText="1"/>
    </xf>
    <xf numFmtId="172" fontId="2" fillId="0" borderId="0" xfId="0" applyNumberFormat="1" applyFont="1" applyAlignment="1">
      <alignment/>
    </xf>
    <xf numFmtId="0" fontId="1" fillId="0" borderId="10" xfId="0" applyNumberFormat="1" applyFont="1" applyBorder="1" applyAlignment="1">
      <alignment horizontal="center" wrapText="1"/>
    </xf>
    <xf numFmtId="2" fontId="0" fillId="0" borderId="0" xfId="0" applyNumberFormat="1" applyAlignment="1">
      <alignment wrapText="1"/>
    </xf>
    <xf numFmtId="2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wrapText="1"/>
    </xf>
    <xf numFmtId="2" fontId="0" fillId="0" borderId="10" xfId="0" applyNumberForma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0" fillId="0" borderId="10" xfId="0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/>
    </xf>
    <xf numFmtId="0" fontId="0" fillId="0" borderId="0" xfId="0" applyFill="1" applyAlignment="1">
      <alignment wrapText="1"/>
    </xf>
    <xf numFmtId="173" fontId="0" fillId="0" borderId="0" xfId="0" applyNumberFormat="1" applyFill="1" applyAlignment="1">
      <alignment/>
    </xf>
    <xf numFmtId="172" fontId="9" fillId="0" borderId="10" xfId="0" applyNumberFormat="1" applyFont="1" applyFill="1" applyBorder="1" applyAlignment="1">
      <alignment horizontal="center" wrapText="1"/>
    </xf>
    <xf numFmtId="0" fontId="2" fillId="0" borderId="10" xfId="0" applyNumberFormat="1" applyFont="1" applyFill="1" applyBorder="1" applyAlignment="1">
      <alignment horizontal="center" wrapText="1"/>
    </xf>
    <xf numFmtId="172" fontId="2" fillId="0" borderId="0" xfId="0" applyNumberFormat="1" applyFont="1" applyFill="1" applyAlignment="1">
      <alignment/>
    </xf>
    <xf numFmtId="0" fontId="9" fillId="0" borderId="10" xfId="0" applyFont="1" applyFill="1" applyBorder="1" applyAlignment="1">
      <alignment wrapText="1"/>
    </xf>
    <xf numFmtId="173" fontId="2" fillId="0" borderId="0" xfId="0" applyNumberFormat="1" applyFont="1" applyFill="1" applyAlignment="1">
      <alignment/>
    </xf>
    <xf numFmtId="0" fontId="9" fillId="0" borderId="10" xfId="0" applyFont="1" applyFill="1" applyBorder="1" applyAlignment="1">
      <alignment horizontal="center" wrapText="1"/>
    </xf>
    <xf numFmtId="0" fontId="2" fillId="0" borderId="0" xfId="0" applyFont="1" applyFill="1" applyAlignment="1">
      <alignment wrapText="1"/>
    </xf>
    <xf numFmtId="0" fontId="2" fillId="0" borderId="10" xfId="0" applyNumberFormat="1" applyFont="1" applyBorder="1" applyAlignment="1">
      <alignment horizontal="center"/>
    </xf>
    <xf numFmtId="2" fontId="0" fillId="0" borderId="10" xfId="0" applyNumberFormat="1" applyFont="1" applyFill="1" applyBorder="1" applyAlignment="1">
      <alignment/>
    </xf>
    <xf numFmtId="2" fontId="2" fillId="0" borderId="0" xfId="0" applyNumberFormat="1" applyFont="1" applyAlignment="1">
      <alignment horizontal="center" wrapText="1"/>
    </xf>
    <xf numFmtId="4" fontId="2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 wrapText="1"/>
    </xf>
    <xf numFmtId="4" fontId="0" fillId="0" borderId="0" xfId="0" applyNumberFormat="1" applyAlignment="1">
      <alignment/>
    </xf>
    <xf numFmtId="172" fontId="0" fillId="0" borderId="10" xfId="0" applyNumberFormat="1" applyBorder="1" applyAlignment="1">
      <alignment horizontal="center" wrapText="1"/>
    </xf>
    <xf numFmtId="0" fontId="0" fillId="0" borderId="12" xfId="0" applyFill="1" applyBorder="1" applyAlignment="1">
      <alignment wrapText="1"/>
    </xf>
    <xf numFmtId="0" fontId="0" fillId="0" borderId="0" xfId="0" applyAlignment="1">
      <alignment horizontal="left" wrapText="1"/>
    </xf>
    <xf numFmtId="4" fontId="0" fillId="0" borderId="10" xfId="0" applyNumberFormat="1" applyFont="1" applyFill="1" applyBorder="1" applyAlignment="1">
      <alignment/>
    </xf>
    <xf numFmtId="0" fontId="2" fillId="0" borderId="0" xfId="0" applyFont="1" applyAlignment="1">
      <alignment wrapText="1"/>
    </xf>
    <xf numFmtId="0" fontId="7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0" fillId="0" borderId="10" xfId="0" applyNumberForma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2" fontId="2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/>
    </xf>
    <xf numFmtId="4" fontId="2" fillId="0" borderId="10" xfId="0" applyNumberFormat="1" applyFont="1" applyBorder="1" applyAlignment="1">
      <alignment wrapText="1"/>
    </xf>
    <xf numFmtId="0" fontId="0" fillId="0" borderId="13" xfId="0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172" fontId="0" fillId="0" borderId="13" xfId="0" applyNumberFormat="1" applyFill="1" applyBorder="1" applyAlignment="1">
      <alignment horizontal="center" wrapText="1"/>
    </xf>
    <xf numFmtId="172" fontId="2" fillId="0" borderId="13" xfId="0" applyNumberFormat="1" applyFont="1" applyFill="1" applyBorder="1" applyAlignment="1">
      <alignment horizontal="center" wrapText="1"/>
    </xf>
    <xf numFmtId="172" fontId="0" fillId="0" borderId="10" xfId="0" applyNumberFormat="1" applyFill="1" applyBorder="1" applyAlignment="1">
      <alignment horizontal="center" wrapText="1"/>
    </xf>
    <xf numFmtId="172" fontId="2" fillId="0" borderId="10" xfId="0" applyNumberFormat="1" applyFont="1" applyFill="1" applyBorder="1" applyAlignment="1">
      <alignment horizontal="center" wrapText="1"/>
    </xf>
    <xf numFmtId="0" fontId="2" fillId="0" borderId="10" xfId="0" applyNumberFormat="1" applyFont="1" applyFill="1" applyBorder="1" applyAlignment="1">
      <alignment horizontal="center"/>
    </xf>
    <xf numFmtId="172" fontId="0" fillId="0" borderId="0" xfId="0" applyNumberFormat="1" applyFill="1" applyAlignment="1">
      <alignment/>
    </xf>
    <xf numFmtId="0" fontId="0" fillId="0" borderId="0" xfId="0" applyFill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172" fontId="2" fillId="0" borderId="0" xfId="0" applyNumberFormat="1" applyFont="1" applyFill="1" applyBorder="1" applyAlignment="1">
      <alignment/>
    </xf>
    <xf numFmtId="172" fontId="0" fillId="0" borderId="0" xfId="0" applyNumberFormat="1" applyFill="1" applyBorder="1" applyAlignment="1">
      <alignment/>
    </xf>
    <xf numFmtId="49" fontId="2" fillId="0" borderId="0" xfId="0" applyNumberFormat="1" applyFont="1" applyFill="1" applyBorder="1" applyAlignment="1">
      <alignment horizontal="center" wrapText="1"/>
    </xf>
    <xf numFmtId="172" fontId="2" fillId="0" borderId="0" xfId="0" applyNumberFormat="1" applyFont="1" applyFill="1" applyBorder="1" applyAlignment="1">
      <alignment horizontal="center" wrapText="1"/>
    </xf>
    <xf numFmtId="2" fontId="0" fillId="0" borderId="0" xfId="0" applyNumberFormat="1" applyFont="1" applyAlignment="1">
      <alignment/>
    </xf>
    <xf numFmtId="0" fontId="0" fillId="0" borderId="10" xfId="0" applyNumberFormat="1" applyFont="1" applyBorder="1" applyAlignment="1">
      <alignment horizontal="center"/>
    </xf>
    <xf numFmtId="0" fontId="0" fillId="0" borderId="14" xfId="0" applyFont="1" applyBorder="1" applyAlignment="1">
      <alignment wrapText="1"/>
    </xf>
    <xf numFmtId="1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184" fontId="0" fillId="0" borderId="14" xfId="0" applyNumberFormat="1" applyBorder="1" applyAlignment="1">
      <alignment/>
    </xf>
    <xf numFmtId="173" fontId="0" fillId="0" borderId="14" xfId="0" applyNumberFormat="1" applyBorder="1" applyAlignment="1">
      <alignment/>
    </xf>
    <xf numFmtId="0" fontId="2" fillId="0" borderId="14" xfId="0" applyFont="1" applyBorder="1" applyAlignment="1">
      <alignment/>
    </xf>
    <xf numFmtId="184" fontId="2" fillId="0" borderId="14" xfId="0" applyNumberFormat="1" applyFont="1" applyBorder="1" applyAlignment="1">
      <alignment/>
    </xf>
    <xf numFmtId="173" fontId="2" fillId="0" borderId="14" xfId="0" applyNumberFormat="1" applyFont="1" applyBorder="1" applyAlignment="1">
      <alignment/>
    </xf>
    <xf numFmtId="0" fontId="2" fillId="0" borderId="0" xfId="0" applyFont="1" applyAlignment="1">
      <alignment/>
    </xf>
    <xf numFmtId="3" fontId="0" fillId="0" borderId="14" xfId="0" applyNumberFormat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2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174" fontId="0" fillId="0" borderId="10" xfId="0" applyNumberFormat="1" applyBorder="1" applyAlignment="1">
      <alignment/>
    </xf>
    <xf numFmtId="174" fontId="2" fillId="0" borderId="10" xfId="0" applyNumberFormat="1" applyFont="1" applyBorder="1" applyAlignment="1">
      <alignment/>
    </xf>
    <xf numFmtId="4" fontId="0" fillId="0" borderId="14" xfId="0" applyNumberFormat="1" applyFont="1" applyBorder="1" applyAlignment="1">
      <alignment/>
    </xf>
    <xf numFmtId="0" fontId="2" fillId="33" borderId="10" xfId="0" applyFont="1" applyFill="1" applyBorder="1" applyAlignment="1">
      <alignment wrapText="1"/>
    </xf>
    <xf numFmtId="2" fontId="0" fillId="33" borderId="10" xfId="0" applyNumberFormat="1" applyFont="1" applyFill="1" applyBorder="1" applyAlignment="1">
      <alignment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/>
    </xf>
    <xf numFmtId="0" fontId="0" fillId="33" borderId="10" xfId="0" applyFill="1" applyBorder="1" applyAlignment="1">
      <alignment/>
    </xf>
    <xf numFmtId="0" fontId="0" fillId="33" borderId="14" xfId="0" applyFont="1" applyFill="1" applyBorder="1" applyAlignment="1">
      <alignment wrapText="1"/>
    </xf>
    <xf numFmtId="173" fontId="0" fillId="33" borderId="14" xfId="0" applyNumberFormat="1" applyFont="1" applyFill="1" applyBorder="1" applyAlignment="1">
      <alignment/>
    </xf>
    <xf numFmtId="2" fontId="0" fillId="33" borderId="10" xfId="0" applyNumberFormat="1" applyFill="1" applyBorder="1" applyAlignment="1">
      <alignment/>
    </xf>
    <xf numFmtId="174" fontId="0" fillId="33" borderId="14" xfId="0" applyNumberFormat="1" applyFont="1" applyFill="1" applyBorder="1" applyAlignment="1">
      <alignment/>
    </xf>
    <xf numFmtId="2" fontId="2" fillId="33" borderId="10" xfId="0" applyNumberFormat="1" applyFont="1" applyFill="1" applyBorder="1" applyAlignment="1">
      <alignment/>
    </xf>
    <xf numFmtId="173" fontId="2" fillId="33" borderId="10" xfId="0" applyNumberFormat="1" applyFont="1" applyFill="1" applyBorder="1" applyAlignment="1">
      <alignment/>
    </xf>
    <xf numFmtId="0" fontId="0" fillId="33" borderId="0" xfId="0" applyFill="1" applyAlignment="1">
      <alignment horizontal="center" wrapText="1"/>
    </xf>
    <xf numFmtId="4" fontId="0" fillId="33" borderId="0" xfId="0" applyNumberFormat="1" applyFill="1" applyAlignment="1">
      <alignment/>
    </xf>
    <xf numFmtId="184" fontId="2" fillId="0" borderId="0" xfId="0" applyNumberFormat="1" applyFont="1" applyFill="1" applyBorder="1" applyAlignment="1">
      <alignment/>
    </xf>
    <xf numFmtId="184" fontId="0" fillId="0" borderId="0" xfId="0" applyNumberForma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2" fillId="0" borderId="0" xfId="0" applyNumberFormat="1" applyFont="1" applyFill="1" applyAlignment="1">
      <alignment/>
    </xf>
    <xf numFmtId="173" fontId="0" fillId="33" borderId="10" xfId="0" applyNumberFormat="1" applyFill="1" applyBorder="1" applyAlignment="1">
      <alignment wrapText="1"/>
    </xf>
    <xf numFmtId="0" fontId="0" fillId="33" borderId="10" xfId="0" applyFill="1" applyBorder="1" applyAlignment="1">
      <alignment wrapText="1"/>
    </xf>
    <xf numFmtId="0" fontId="0" fillId="33" borderId="10" xfId="0" applyFont="1" applyFill="1" applyBorder="1" applyAlignment="1">
      <alignment horizontal="center" wrapText="1"/>
    </xf>
    <xf numFmtId="0" fontId="0" fillId="33" borderId="0" xfId="0" applyFill="1" applyAlignment="1">
      <alignment wrapText="1"/>
    </xf>
    <xf numFmtId="0" fontId="0" fillId="33" borderId="10" xfId="0" applyFill="1" applyBorder="1" applyAlignment="1">
      <alignment horizontal="center" wrapText="1"/>
    </xf>
    <xf numFmtId="0" fontId="0" fillId="33" borderId="10" xfId="0" applyNumberFormat="1" applyFill="1" applyBorder="1" applyAlignment="1">
      <alignment horizontal="center" wrapText="1"/>
    </xf>
    <xf numFmtId="0" fontId="0" fillId="33" borderId="10" xfId="0" applyFill="1" applyBorder="1" applyAlignment="1">
      <alignment horizontal="center"/>
    </xf>
    <xf numFmtId="0" fontId="0" fillId="33" borderId="0" xfId="0" applyFill="1" applyAlignment="1">
      <alignment horizontal="center"/>
    </xf>
    <xf numFmtId="4" fontId="0" fillId="33" borderId="10" xfId="0" applyNumberFormat="1" applyFill="1" applyBorder="1" applyAlignment="1">
      <alignment/>
    </xf>
    <xf numFmtId="4" fontId="0" fillId="33" borderId="1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173" fontId="0" fillId="33" borderId="0" xfId="0" applyNumberFormat="1" applyFill="1" applyAlignment="1">
      <alignment/>
    </xf>
    <xf numFmtId="0" fontId="0" fillId="33" borderId="0" xfId="0" applyFill="1" applyAlignment="1">
      <alignment horizontal="left" wrapText="1"/>
    </xf>
    <xf numFmtId="4" fontId="0" fillId="0" borderId="10" xfId="0" applyNumberFormat="1" applyFill="1" applyBorder="1" applyAlignment="1">
      <alignment/>
    </xf>
    <xf numFmtId="4" fontId="0" fillId="0" borderId="0" xfId="0" applyNumberFormat="1" applyFill="1" applyAlignment="1">
      <alignment/>
    </xf>
    <xf numFmtId="2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57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2" fillId="33" borderId="10" xfId="0" applyFont="1" applyFill="1" applyBorder="1" applyAlignment="1">
      <alignment horizontal="center"/>
    </xf>
    <xf numFmtId="0" fontId="12" fillId="33" borderId="10" xfId="0" applyFont="1" applyFill="1" applyBorder="1" applyAlignment="1">
      <alignment vertical="center" wrapText="1"/>
    </xf>
    <xf numFmtId="0" fontId="12" fillId="34" borderId="10" xfId="0" applyFont="1" applyFill="1" applyBorder="1" applyAlignment="1">
      <alignment vertical="center" wrapText="1"/>
    </xf>
    <xf numFmtId="0" fontId="13" fillId="33" borderId="10" xfId="0" applyFont="1" applyFill="1" applyBorder="1" applyAlignment="1">
      <alignment wrapText="1"/>
    </xf>
    <xf numFmtId="0" fontId="14" fillId="33" borderId="10" xfId="0" applyFont="1" applyFill="1" applyBorder="1" applyAlignment="1">
      <alignment wrapText="1"/>
    </xf>
    <xf numFmtId="0" fontId="58" fillId="33" borderId="0" xfId="0" applyFont="1" applyFill="1" applyAlignment="1">
      <alignment/>
    </xf>
    <xf numFmtId="0" fontId="12" fillId="33" borderId="10" xfId="0" applyFont="1" applyFill="1" applyBorder="1" applyAlignment="1">
      <alignment wrapText="1"/>
    </xf>
    <xf numFmtId="187" fontId="12" fillId="33" borderId="0" xfId="0" applyNumberFormat="1" applyFont="1" applyFill="1" applyBorder="1" applyAlignment="1">
      <alignment wrapText="1"/>
    </xf>
    <xf numFmtId="187" fontId="0" fillId="33" borderId="0" xfId="0" applyNumberFormat="1" applyFont="1" applyFill="1" applyAlignment="1">
      <alignment/>
    </xf>
    <xf numFmtId="0" fontId="12" fillId="33" borderId="0" xfId="0" applyFont="1" applyFill="1" applyBorder="1" applyAlignment="1">
      <alignment/>
    </xf>
    <xf numFmtId="0" fontId="59" fillId="33" borderId="0" xfId="0" applyFont="1" applyFill="1" applyAlignment="1">
      <alignment/>
    </xf>
    <xf numFmtId="0" fontId="59" fillId="33" borderId="10" xfId="0" applyFont="1" applyFill="1" applyBorder="1" applyAlignment="1">
      <alignment/>
    </xf>
    <xf numFmtId="184" fontId="13" fillId="33" borderId="10" xfId="0" applyNumberFormat="1" applyFont="1" applyFill="1" applyBorder="1" applyAlignment="1">
      <alignment/>
    </xf>
    <xf numFmtId="184" fontId="13" fillId="35" borderId="10" xfId="0" applyNumberFormat="1" applyFont="1" applyFill="1" applyBorder="1" applyAlignment="1">
      <alignment/>
    </xf>
    <xf numFmtId="184" fontId="13" fillId="36" borderId="10" xfId="0" applyNumberFormat="1" applyFont="1" applyFill="1" applyBorder="1" applyAlignment="1">
      <alignment/>
    </xf>
    <xf numFmtId="184" fontId="14" fillId="33" borderId="10" xfId="0" applyNumberFormat="1" applyFont="1" applyFill="1" applyBorder="1" applyAlignment="1">
      <alignment/>
    </xf>
    <xf numFmtId="184" fontId="14" fillId="35" borderId="10" xfId="0" applyNumberFormat="1" applyFont="1" applyFill="1" applyBorder="1" applyAlignment="1">
      <alignment/>
    </xf>
    <xf numFmtId="184" fontId="14" fillId="36" borderId="10" xfId="0" applyNumberFormat="1" applyFont="1" applyFill="1" applyBorder="1" applyAlignment="1">
      <alignment/>
    </xf>
    <xf numFmtId="184" fontId="60" fillId="36" borderId="10" xfId="0" applyNumberFormat="1" applyFont="1" applyFill="1" applyBorder="1" applyAlignment="1">
      <alignment/>
    </xf>
    <xf numFmtId="184" fontId="12" fillId="33" borderId="10" xfId="0" applyNumberFormat="1" applyFont="1" applyFill="1" applyBorder="1" applyAlignment="1">
      <alignment/>
    </xf>
    <xf numFmtId="184" fontId="12" fillId="34" borderId="10" xfId="0" applyNumberFormat="1" applyFont="1" applyFill="1" applyBorder="1" applyAlignment="1">
      <alignment/>
    </xf>
    <xf numFmtId="184" fontId="12" fillId="33" borderId="0" xfId="0" applyNumberFormat="1" applyFont="1" applyFill="1" applyBorder="1" applyAlignment="1">
      <alignment/>
    </xf>
    <xf numFmtId="184" fontId="0" fillId="33" borderId="0" xfId="0" applyNumberFormat="1" applyFont="1" applyFill="1" applyAlignment="1">
      <alignment/>
    </xf>
    <xf numFmtId="184" fontId="12" fillId="33" borderId="10" xfId="0" applyNumberFormat="1" applyFont="1" applyFill="1" applyBorder="1" applyAlignment="1">
      <alignment horizontal="center"/>
    </xf>
    <xf numFmtId="184" fontId="12" fillId="33" borderId="10" xfId="0" applyNumberFormat="1" applyFont="1" applyFill="1" applyBorder="1" applyAlignment="1">
      <alignment vertical="center" wrapText="1"/>
    </xf>
    <xf numFmtId="184" fontId="12" fillId="34" borderId="10" xfId="0" applyNumberFormat="1" applyFont="1" applyFill="1" applyBorder="1" applyAlignment="1">
      <alignment vertical="center" wrapText="1"/>
    </xf>
    <xf numFmtId="184" fontId="58" fillId="33" borderId="0" xfId="0" applyNumberFormat="1" applyFont="1" applyFill="1" applyAlignment="1">
      <alignment/>
    </xf>
    <xf numFmtId="184" fontId="61" fillId="33" borderId="10" xfId="0" applyNumberFormat="1" applyFont="1" applyFill="1" applyBorder="1" applyAlignment="1">
      <alignment/>
    </xf>
    <xf numFmtId="184" fontId="0" fillId="33" borderId="10" xfId="0" applyNumberFormat="1" applyFont="1" applyFill="1" applyBorder="1" applyAlignment="1">
      <alignment/>
    </xf>
    <xf numFmtId="0" fontId="0" fillId="0" borderId="14" xfId="0" applyBorder="1" applyAlignment="1">
      <alignment wrapText="1"/>
    </xf>
    <xf numFmtId="2" fontId="0" fillId="0" borderId="14" xfId="0" applyNumberFormat="1" applyBorder="1" applyAlignment="1">
      <alignment wrapText="1"/>
    </xf>
    <xf numFmtId="4" fontId="0" fillId="33" borderId="14" xfId="0" applyNumberFormat="1" applyFill="1" applyBorder="1" applyAlignment="1">
      <alignment/>
    </xf>
    <xf numFmtId="4" fontId="0" fillId="0" borderId="10" xfId="0" applyNumberFormat="1" applyFont="1" applyBorder="1" applyAlignment="1">
      <alignment/>
    </xf>
    <xf numFmtId="4" fontId="2" fillId="0" borderId="10" xfId="0" applyNumberFormat="1" applyFont="1" applyFill="1" applyBorder="1" applyAlignment="1">
      <alignment wrapText="1"/>
    </xf>
    <xf numFmtId="2" fontId="2" fillId="33" borderId="10" xfId="0" applyNumberFormat="1" applyFont="1" applyFill="1" applyBorder="1" applyAlignment="1">
      <alignment wrapText="1"/>
    </xf>
    <xf numFmtId="4" fontId="2" fillId="33" borderId="0" xfId="0" applyNumberFormat="1" applyFont="1" applyFill="1" applyAlignment="1">
      <alignment/>
    </xf>
    <xf numFmtId="184" fontId="2" fillId="33" borderId="0" xfId="0" applyNumberFormat="1" applyFont="1" applyFill="1" applyAlignment="1">
      <alignment/>
    </xf>
    <xf numFmtId="173" fontId="2" fillId="33" borderId="15" xfId="0" applyNumberFormat="1" applyFont="1" applyFill="1" applyBorder="1" applyAlignment="1">
      <alignment horizontal="center"/>
    </xf>
    <xf numFmtId="187" fontId="2" fillId="0" borderId="10" xfId="0" applyNumberFormat="1" applyFont="1" applyFill="1" applyBorder="1" applyAlignment="1">
      <alignment/>
    </xf>
    <xf numFmtId="187" fontId="2" fillId="0" borderId="10" xfId="0" applyNumberFormat="1" applyFont="1" applyBorder="1" applyAlignment="1">
      <alignment/>
    </xf>
    <xf numFmtId="187" fontId="0" fillId="0" borderId="0" xfId="0" applyNumberFormat="1" applyAlignment="1">
      <alignment/>
    </xf>
    <xf numFmtId="187" fontId="2" fillId="33" borderId="10" xfId="0" applyNumberFormat="1" applyFont="1" applyFill="1" applyBorder="1" applyAlignment="1">
      <alignment wrapText="1"/>
    </xf>
    <xf numFmtId="2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37" borderId="10" xfId="0" applyFill="1" applyBorder="1" applyAlignment="1">
      <alignment horizontal="center" vertical="center" wrapText="1"/>
    </xf>
    <xf numFmtId="172" fontId="0" fillId="0" borderId="10" xfId="0" applyNumberForma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2" fontId="0" fillId="0" borderId="10" xfId="0" applyNumberForma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0" fillId="33" borderId="0" xfId="0" applyNumberFormat="1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73" fontId="0" fillId="33" borderId="0" xfId="0" applyNumberFormat="1" applyFont="1" applyFill="1" applyAlignment="1">
      <alignment/>
    </xf>
    <xf numFmtId="2" fontId="0" fillId="33" borderId="0" xfId="0" applyNumberFormat="1" applyFont="1" applyFill="1" applyAlignment="1">
      <alignment/>
    </xf>
    <xf numFmtId="0" fontId="0" fillId="33" borderId="10" xfId="0" applyFont="1" applyFill="1" applyBorder="1" applyAlignment="1">
      <alignment/>
    </xf>
    <xf numFmtId="173" fontId="0" fillId="33" borderId="10" xfId="0" applyNumberFormat="1" applyFont="1" applyFill="1" applyBorder="1" applyAlignment="1">
      <alignment wrapText="1"/>
    </xf>
    <xf numFmtId="187" fontId="0" fillId="33" borderId="14" xfId="0" applyNumberFormat="1" applyFont="1" applyFill="1" applyBorder="1" applyAlignment="1">
      <alignment/>
    </xf>
    <xf numFmtId="187" fontId="0" fillId="33" borderId="10" xfId="0" applyNumberFormat="1" applyFont="1" applyFill="1" applyBorder="1" applyAlignment="1">
      <alignment/>
    </xf>
    <xf numFmtId="187" fontId="15" fillId="33" borderId="14" xfId="0" applyNumberFormat="1" applyFont="1" applyFill="1" applyBorder="1" applyAlignment="1">
      <alignment/>
    </xf>
    <xf numFmtId="0" fontId="0" fillId="33" borderId="0" xfId="0" applyFont="1" applyFill="1" applyAlignment="1">
      <alignment wrapText="1"/>
    </xf>
    <xf numFmtId="4" fontId="0" fillId="33" borderId="0" xfId="0" applyNumberFormat="1" applyFont="1" applyFill="1" applyAlignment="1">
      <alignment wrapText="1"/>
    </xf>
    <xf numFmtId="4" fontId="0" fillId="33" borderId="0" xfId="0" applyNumberFormat="1" applyFont="1" applyFill="1" applyAlignment="1">
      <alignment/>
    </xf>
    <xf numFmtId="187" fontId="0" fillId="0" borderId="10" xfId="0" applyNumberFormat="1" applyBorder="1" applyAlignment="1">
      <alignment wrapText="1"/>
    </xf>
    <xf numFmtId="187" fontId="2" fillId="0" borderId="14" xfId="0" applyNumberFormat="1" applyFont="1" applyBorder="1" applyAlignment="1">
      <alignment/>
    </xf>
    <xf numFmtId="2" fontId="0" fillId="0" borderId="0" xfId="0" applyNumberFormat="1" applyBorder="1" applyAlignment="1">
      <alignment horizontal="center" vertical="center" wrapText="1"/>
    </xf>
    <xf numFmtId="187" fontId="2" fillId="0" borderId="0" xfId="0" applyNumberFormat="1" applyFont="1" applyBorder="1" applyAlignment="1">
      <alignment/>
    </xf>
    <xf numFmtId="0" fontId="16" fillId="0" borderId="0" xfId="0" applyFont="1" applyAlignment="1">
      <alignment/>
    </xf>
    <xf numFmtId="2" fontId="16" fillId="33" borderId="0" xfId="0" applyNumberFormat="1" applyFont="1" applyFill="1" applyAlignment="1">
      <alignment/>
    </xf>
    <xf numFmtId="0" fontId="17" fillId="0" borderId="0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wrapText="1"/>
    </xf>
    <xf numFmtId="0" fontId="16" fillId="0" borderId="0" xfId="0" applyFont="1" applyAlignment="1">
      <alignment horizontal="center" vertical="center"/>
    </xf>
    <xf numFmtId="2" fontId="17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Border="1" applyAlignment="1">
      <alignment/>
    </xf>
    <xf numFmtId="0" fontId="16" fillId="0" borderId="14" xfId="0" applyFont="1" applyBorder="1" applyAlignment="1">
      <alignment wrapText="1"/>
    </xf>
    <xf numFmtId="187" fontId="16" fillId="0" borderId="10" xfId="0" applyNumberFormat="1" applyFont="1" applyBorder="1" applyAlignment="1">
      <alignment wrapText="1"/>
    </xf>
    <xf numFmtId="187" fontId="16" fillId="0" borderId="10" xfId="0" applyNumberFormat="1" applyFont="1" applyFill="1" applyBorder="1" applyAlignment="1">
      <alignment/>
    </xf>
    <xf numFmtId="0" fontId="17" fillId="0" borderId="10" xfId="0" applyFont="1" applyBorder="1" applyAlignment="1">
      <alignment wrapText="1"/>
    </xf>
    <xf numFmtId="187" fontId="17" fillId="0" borderId="10" xfId="0" applyNumberFormat="1" applyFont="1" applyBorder="1" applyAlignment="1">
      <alignment wrapText="1"/>
    </xf>
    <xf numFmtId="0" fontId="16" fillId="0" borderId="0" xfId="0" applyFont="1" applyAlignment="1">
      <alignment wrapText="1"/>
    </xf>
    <xf numFmtId="4" fontId="16" fillId="0" borderId="0" xfId="0" applyNumberFormat="1" applyFont="1" applyAlignment="1">
      <alignment wrapText="1"/>
    </xf>
    <xf numFmtId="173" fontId="16" fillId="0" borderId="0" xfId="0" applyNumberFormat="1" applyFont="1" applyAlignment="1">
      <alignment wrapText="1"/>
    </xf>
    <xf numFmtId="0" fontId="0" fillId="33" borderId="0" xfId="0" applyFill="1" applyAlignment="1">
      <alignment horizontal="center" wrapText="1"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 horizontal="right"/>
    </xf>
    <xf numFmtId="49" fontId="2" fillId="33" borderId="17" xfId="0" applyNumberFormat="1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12" fillId="33" borderId="13" xfId="0" applyFont="1" applyFill="1" applyBorder="1" applyAlignment="1">
      <alignment horizontal="center"/>
    </xf>
    <xf numFmtId="0" fontId="12" fillId="33" borderId="11" xfId="0" applyFont="1" applyFill="1" applyBorder="1" applyAlignment="1">
      <alignment horizontal="center"/>
    </xf>
    <xf numFmtId="184" fontId="12" fillId="33" borderId="10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wrapText="1"/>
    </xf>
    <xf numFmtId="0" fontId="12" fillId="33" borderId="0" xfId="0" applyFont="1" applyFill="1" applyBorder="1" applyAlignment="1">
      <alignment horizontal="center" wrapText="1"/>
    </xf>
    <xf numFmtId="0" fontId="11" fillId="33" borderId="0" xfId="0" applyFont="1" applyFill="1" applyBorder="1" applyAlignment="1">
      <alignment horizontal="right"/>
    </xf>
    <xf numFmtId="49" fontId="12" fillId="33" borderId="10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0" fillId="0" borderId="0" xfId="0" applyFill="1" applyAlignment="1">
      <alignment horizontal="left" wrapText="1"/>
    </xf>
    <xf numFmtId="0" fontId="2" fillId="0" borderId="15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10" fillId="33" borderId="0" xfId="0" applyFont="1" applyFill="1" applyAlignment="1">
      <alignment horizontal="center" wrapText="1"/>
    </xf>
    <xf numFmtId="0" fontId="0" fillId="33" borderId="10" xfId="0" applyFill="1" applyBorder="1" applyAlignment="1">
      <alignment horizont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173" fontId="2" fillId="33" borderId="10" xfId="0" applyNumberFormat="1" applyFont="1" applyFill="1" applyBorder="1" applyAlignment="1">
      <alignment horizontal="center"/>
    </xf>
    <xf numFmtId="2" fontId="2" fillId="33" borderId="15" xfId="0" applyNumberFormat="1" applyFont="1" applyFill="1" applyBorder="1" applyAlignment="1">
      <alignment horizontal="center"/>
    </xf>
    <xf numFmtId="2" fontId="2" fillId="33" borderId="19" xfId="0" applyNumberFormat="1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 vertical="center" wrapText="1"/>
    </xf>
    <xf numFmtId="2" fontId="17" fillId="0" borderId="15" xfId="0" applyNumberFormat="1" applyFont="1" applyFill="1" applyBorder="1" applyAlignment="1">
      <alignment horizontal="center" vertical="center" wrapText="1"/>
    </xf>
    <xf numFmtId="2" fontId="17" fillId="0" borderId="18" xfId="0" applyNumberFormat="1" applyFont="1" applyFill="1" applyBorder="1" applyAlignment="1">
      <alignment horizontal="center" vertical="center" wrapText="1"/>
    </xf>
    <xf numFmtId="2" fontId="17" fillId="0" borderId="19" xfId="0" applyNumberFormat="1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190" fontId="0" fillId="0" borderId="10" xfId="0" applyNumberFormat="1" applyFill="1" applyBorder="1" applyAlignment="1">
      <alignment/>
    </xf>
    <xf numFmtId="187" fontId="0" fillId="0" borderId="0" xfId="0" applyNumberFormat="1" applyFill="1" applyAlignment="1">
      <alignment/>
    </xf>
    <xf numFmtId="2" fontId="2" fillId="8" borderId="10" xfId="0" applyNumberFormat="1" applyFont="1" applyFill="1" applyBorder="1" applyAlignment="1">
      <alignment horizontal="center" vertical="center" wrapText="1"/>
    </xf>
    <xf numFmtId="0" fontId="9" fillId="8" borderId="10" xfId="0" applyNumberFormat="1" applyFont="1" applyFill="1" applyBorder="1" applyAlignment="1">
      <alignment horizontal="center" wrapText="1"/>
    </xf>
    <xf numFmtId="4" fontId="2" fillId="8" borderId="10" xfId="0" applyNumberFormat="1" applyFont="1" applyFill="1" applyBorder="1" applyAlignment="1">
      <alignment/>
    </xf>
    <xf numFmtId="0" fontId="2" fillId="8" borderId="10" xfId="0" applyNumberFormat="1" applyFont="1" applyFill="1" applyBorder="1" applyAlignment="1">
      <alignment horizontal="center"/>
    </xf>
    <xf numFmtId="187" fontId="2" fillId="8" borderId="10" xfId="0" applyNumberFormat="1" applyFont="1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"/>
  <sheetViews>
    <sheetView zoomScalePageLayoutView="0" workbookViewId="0" topLeftCell="A1">
      <selection activeCell="B5" sqref="B5:B6"/>
    </sheetView>
  </sheetViews>
  <sheetFormatPr defaultColWidth="9.00390625" defaultRowHeight="12.75"/>
  <cols>
    <col min="1" max="1" width="5.875" style="105" customWidth="1"/>
    <col min="2" max="2" width="23.25390625" style="105" customWidth="1"/>
    <col min="3" max="4" width="10.875" style="105" customWidth="1"/>
    <col min="5" max="5" width="9.875" style="105" customWidth="1"/>
    <col min="6" max="6" width="16.375" style="105" customWidth="1"/>
    <col min="7" max="7" width="11.125" style="105" customWidth="1"/>
    <col min="8" max="8" width="12.25390625" style="105" customWidth="1"/>
    <col min="9" max="9" width="9.25390625" style="105" bestFit="1" customWidth="1"/>
    <col min="10" max="10" width="12.125" style="105" customWidth="1"/>
    <col min="11" max="11" width="11.875" style="105" customWidth="1"/>
    <col min="12" max="12" width="13.25390625" style="105" customWidth="1"/>
    <col min="13" max="13" width="12.25390625" style="105" customWidth="1"/>
    <col min="14" max="14" width="11.875" style="105" hidden="1" customWidth="1"/>
    <col min="15" max="15" width="9.25390625" style="106" hidden="1" customWidth="1"/>
    <col min="16" max="16" width="0" style="105" hidden="1" customWidth="1"/>
    <col min="17" max="17" width="17.375" style="105" hidden="1" customWidth="1"/>
    <col min="18" max="16384" width="9.125" style="105" customWidth="1"/>
  </cols>
  <sheetData>
    <row r="1" ht="12.75">
      <c r="L1" s="105" t="s">
        <v>182</v>
      </c>
    </row>
    <row r="3" spans="1:13" ht="38.25" customHeight="1">
      <c r="A3" s="235" t="s">
        <v>181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</row>
    <row r="5" spans="1:15" s="197" customFormat="1" ht="12.75">
      <c r="A5" s="231" t="s">
        <v>0</v>
      </c>
      <c r="B5" s="236" t="s">
        <v>1</v>
      </c>
      <c r="C5" s="231" t="s">
        <v>88</v>
      </c>
      <c r="D5" s="231"/>
      <c r="E5" s="231"/>
      <c r="F5" s="231"/>
      <c r="G5" s="231" t="s">
        <v>89</v>
      </c>
      <c r="H5" s="231"/>
      <c r="I5" s="231"/>
      <c r="J5" s="231" t="s">
        <v>90</v>
      </c>
      <c r="K5" s="231"/>
      <c r="L5" s="231"/>
      <c r="M5" s="232" t="s">
        <v>153</v>
      </c>
      <c r="N5" s="234"/>
      <c r="O5" s="196"/>
    </row>
    <row r="6" spans="1:15" s="197" customFormat="1" ht="99.75" customHeight="1">
      <c r="A6" s="231"/>
      <c r="B6" s="237"/>
      <c r="C6" s="198" t="s">
        <v>151</v>
      </c>
      <c r="D6" s="198" t="s">
        <v>119</v>
      </c>
      <c r="E6" s="198" t="s">
        <v>91</v>
      </c>
      <c r="F6" s="198" t="s">
        <v>154</v>
      </c>
      <c r="G6" s="198" t="s">
        <v>152</v>
      </c>
      <c r="H6" s="198" t="s">
        <v>91</v>
      </c>
      <c r="I6" s="198" t="s">
        <v>129</v>
      </c>
      <c r="J6" s="199" t="s">
        <v>131</v>
      </c>
      <c r="K6" s="198" t="s">
        <v>91</v>
      </c>
      <c r="L6" s="199" t="s">
        <v>130</v>
      </c>
      <c r="M6" s="232"/>
      <c r="N6" s="234"/>
      <c r="O6" s="196"/>
    </row>
    <row r="7" spans="1:17" ht="25.5">
      <c r="A7" s="107">
        <v>1</v>
      </c>
      <c r="B7" s="108" t="s">
        <v>134</v>
      </c>
      <c r="C7" s="109">
        <v>5755</v>
      </c>
      <c r="D7" s="104">
        <v>15</v>
      </c>
      <c r="E7" s="104">
        <f>C7/C15</f>
        <v>0.3132211433796317</v>
      </c>
      <c r="F7" s="110">
        <f>F15*E7</f>
        <v>6300.130077937912</v>
      </c>
      <c r="G7" s="109">
        <v>3450</v>
      </c>
      <c r="H7" s="110">
        <f>G7/G15</f>
        <v>0.115</v>
      </c>
      <c r="I7" s="104">
        <f>I15*H7</f>
        <v>3335</v>
      </c>
      <c r="J7" s="111">
        <v>810</v>
      </c>
      <c r="K7" s="110">
        <f>J7/J15</f>
        <v>0.19471153846153846</v>
      </c>
      <c r="L7" s="110">
        <f>L15*K7</f>
        <v>876.2019230769231</v>
      </c>
      <c r="M7" s="112">
        <f>+F7+I7+L7</f>
        <v>10511.332001014836</v>
      </c>
      <c r="N7" s="112">
        <f>+J7+G7+C7</f>
        <v>10015</v>
      </c>
      <c r="O7" s="106">
        <f>+M7-N7</f>
        <v>496.33200101483635</v>
      </c>
      <c r="P7" s="102">
        <v>6285.5</v>
      </c>
      <c r="Q7" s="115">
        <f>+P7-F7</f>
        <v>-14.630077937911665</v>
      </c>
    </row>
    <row r="8" spans="1:17" ht="12.75">
      <c r="A8" s="107">
        <v>2</v>
      </c>
      <c r="B8" s="108" t="s">
        <v>135</v>
      </c>
      <c r="C8" s="109">
        <v>4628.6</v>
      </c>
      <c r="D8" s="104">
        <v>15</v>
      </c>
      <c r="E8" s="104">
        <f>C8/C15</f>
        <v>0.25191579222362526</v>
      </c>
      <c r="F8" s="110">
        <f>F15*E8</f>
        <v>5067.034244785998</v>
      </c>
      <c r="G8" s="109">
        <v>2900</v>
      </c>
      <c r="H8" s="110">
        <f>G8/G15</f>
        <v>0.09666666666666666</v>
      </c>
      <c r="I8" s="104">
        <f>I15*H8</f>
        <v>2803.3333333333335</v>
      </c>
      <c r="J8" s="111">
        <v>760</v>
      </c>
      <c r="K8" s="110">
        <f>J8/J15</f>
        <v>0.18269230769230768</v>
      </c>
      <c r="L8" s="110">
        <f>L15*K8</f>
        <v>822.1153846153845</v>
      </c>
      <c r="M8" s="112">
        <f aca="true" t="shared" si="0" ref="M8:M14">+F8+I8+L8</f>
        <v>8692.482962734717</v>
      </c>
      <c r="N8" s="112">
        <f aca="true" t="shared" si="1" ref="N8:N15">+J8+G8+C8</f>
        <v>8288.6</v>
      </c>
      <c r="O8" s="106">
        <f aca="true" t="shared" si="2" ref="O8:O15">+M8-N8</f>
        <v>403.8829627347168</v>
      </c>
      <c r="P8" s="102">
        <v>5032.5</v>
      </c>
      <c r="Q8" s="115">
        <f aca="true" t="shared" si="3" ref="Q8:Q15">+P8-F8</f>
        <v>-34.53424478599845</v>
      </c>
    </row>
    <row r="9" spans="1:17" ht="25.5">
      <c r="A9" s="107">
        <v>3</v>
      </c>
      <c r="B9" s="108" t="s">
        <v>136</v>
      </c>
      <c r="C9" s="109">
        <v>590</v>
      </c>
      <c r="D9" s="104">
        <v>7</v>
      </c>
      <c r="E9" s="104">
        <f>C9/C15</f>
        <v>0.032111290111899685</v>
      </c>
      <c r="F9" s="110">
        <f>F15*E9</f>
        <v>645.8864893107502</v>
      </c>
      <c r="G9" s="109">
        <v>3050</v>
      </c>
      <c r="H9" s="110">
        <f>G9/G15</f>
        <v>0.10166666666666667</v>
      </c>
      <c r="I9" s="104">
        <f>I15*H9</f>
        <v>2948.3333333333335</v>
      </c>
      <c r="J9" s="111">
        <v>670</v>
      </c>
      <c r="K9" s="110">
        <f>J9/J15</f>
        <v>0.16105769230769232</v>
      </c>
      <c r="L9" s="110">
        <f>L15*K9</f>
        <v>724.7596153846155</v>
      </c>
      <c r="M9" s="112">
        <f t="shared" si="0"/>
        <v>4318.979438028699</v>
      </c>
      <c r="N9" s="112">
        <f t="shared" si="1"/>
        <v>4310</v>
      </c>
      <c r="O9" s="106">
        <f t="shared" si="2"/>
        <v>8.979438028699406</v>
      </c>
      <c r="P9" s="102">
        <v>690</v>
      </c>
      <c r="Q9" s="115">
        <f t="shared" si="3"/>
        <v>44.11351068924978</v>
      </c>
    </row>
    <row r="10" spans="1:17" ht="25.5">
      <c r="A10" s="107">
        <v>4</v>
      </c>
      <c r="B10" s="108" t="s">
        <v>137</v>
      </c>
      <c r="C10" s="109">
        <v>430</v>
      </c>
      <c r="D10" s="104">
        <v>7</v>
      </c>
      <c r="E10" s="104">
        <f>C10/C15</f>
        <v>0.02340314364087604</v>
      </c>
      <c r="F10" s="110">
        <f>F15*E10</f>
        <v>470.7308311925807</v>
      </c>
      <c r="G10" s="109">
        <v>1850</v>
      </c>
      <c r="H10" s="110">
        <f>G10/G15</f>
        <v>0.06166666666666667</v>
      </c>
      <c r="I10" s="104">
        <f>I15*H10</f>
        <v>1788.3333333333335</v>
      </c>
      <c r="J10" s="111">
        <v>220</v>
      </c>
      <c r="K10" s="110">
        <f>J10/J15</f>
        <v>0.052884615384615384</v>
      </c>
      <c r="L10" s="110">
        <f>L15*K10</f>
        <v>237.98076923076923</v>
      </c>
      <c r="M10" s="112">
        <f t="shared" si="0"/>
        <v>2497.0449337566833</v>
      </c>
      <c r="N10" s="112">
        <f t="shared" si="1"/>
        <v>2500</v>
      </c>
      <c r="O10" s="106">
        <f t="shared" si="2"/>
        <v>-2.955066243316651</v>
      </c>
      <c r="P10" s="102">
        <v>482</v>
      </c>
      <c r="Q10" s="115">
        <f t="shared" si="3"/>
        <v>11.269168807419305</v>
      </c>
    </row>
    <row r="11" spans="1:17" ht="12.75">
      <c r="A11" s="107">
        <v>5</v>
      </c>
      <c r="B11" s="108" t="s">
        <v>138</v>
      </c>
      <c r="C11" s="109">
        <v>960</v>
      </c>
      <c r="D11" s="104">
        <v>7</v>
      </c>
      <c r="E11" s="104">
        <f>C11/C15</f>
        <v>0.05224887882614186</v>
      </c>
      <c r="F11" s="110">
        <f>F15*E11</f>
        <v>1050.9339487090174</v>
      </c>
      <c r="G11" s="109">
        <v>3450</v>
      </c>
      <c r="H11" s="110">
        <f>G11/G15</f>
        <v>0.115</v>
      </c>
      <c r="I11" s="104">
        <f>I15*H11</f>
        <v>3335</v>
      </c>
      <c r="J11" s="111">
        <v>460</v>
      </c>
      <c r="K11" s="110">
        <f>J11/J15</f>
        <v>0.11057692307692307</v>
      </c>
      <c r="L11" s="110">
        <f>L15*K11</f>
        <v>497.5961538461538</v>
      </c>
      <c r="M11" s="112">
        <f t="shared" si="0"/>
        <v>4883.530102555171</v>
      </c>
      <c r="N11" s="112">
        <f t="shared" si="1"/>
        <v>4870</v>
      </c>
      <c r="O11" s="106">
        <f t="shared" si="2"/>
        <v>13.530102555170743</v>
      </c>
      <c r="P11" s="102">
        <v>1143</v>
      </c>
      <c r="Q11" s="115">
        <f t="shared" si="3"/>
        <v>92.06605129098261</v>
      </c>
    </row>
    <row r="12" spans="1:17" ht="25.5">
      <c r="A12" s="107">
        <v>6</v>
      </c>
      <c r="B12" s="108" t="s">
        <v>139</v>
      </c>
      <c r="C12" s="109">
        <v>2670</v>
      </c>
      <c r="D12" s="104">
        <v>7</v>
      </c>
      <c r="E12" s="104">
        <f>C12/C15</f>
        <v>0.14531719423520706</v>
      </c>
      <c r="F12" s="110">
        <f>F15*E12</f>
        <v>2922.910044846955</v>
      </c>
      <c r="G12" s="109">
        <v>7550</v>
      </c>
      <c r="H12" s="110">
        <f>G12/G15</f>
        <v>0.25166666666666665</v>
      </c>
      <c r="I12" s="104">
        <f>I15*H12</f>
        <v>7298.333333333333</v>
      </c>
      <c r="J12" s="111">
        <v>560</v>
      </c>
      <c r="K12" s="110">
        <f>J12/J15</f>
        <v>0.1346153846153846</v>
      </c>
      <c r="L12" s="110">
        <f>L15*K12</f>
        <v>605.7692307692307</v>
      </c>
      <c r="M12" s="112">
        <f t="shared" si="0"/>
        <v>10827.012608949519</v>
      </c>
      <c r="N12" s="112">
        <f t="shared" si="1"/>
        <v>10780</v>
      </c>
      <c r="O12" s="106">
        <f t="shared" si="2"/>
        <v>47.012608949518835</v>
      </c>
      <c r="P12" s="102">
        <v>2707</v>
      </c>
      <c r="Q12" s="115">
        <f t="shared" si="3"/>
        <v>-215.91004484695486</v>
      </c>
    </row>
    <row r="13" spans="1:17" ht="25.5">
      <c r="A13" s="107">
        <v>7</v>
      </c>
      <c r="B13" s="108" t="s">
        <v>140</v>
      </c>
      <c r="C13" s="109">
        <v>460</v>
      </c>
      <c r="D13" s="104">
        <v>7</v>
      </c>
      <c r="E13" s="104">
        <f>C13/C15</f>
        <v>0.025035921104192973</v>
      </c>
      <c r="F13" s="110">
        <f>F15*E13</f>
        <v>503.57251708973746</v>
      </c>
      <c r="G13" s="109">
        <v>1700</v>
      </c>
      <c r="H13" s="110">
        <f>G13/G15</f>
        <v>0.056666666666666664</v>
      </c>
      <c r="I13" s="104">
        <f>I15*H13</f>
        <v>1643.3333333333333</v>
      </c>
      <c r="J13" s="111">
        <v>210</v>
      </c>
      <c r="K13" s="110">
        <f>J13/J15</f>
        <v>0.05048076923076923</v>
      </c>
      <c r="L13" s="110">
        <f>L15*K13</f>
        <v>227.16346153846155</v>
      </c>
      <c r="M13" s="112">
        <f t="shared" si="0"/>
        <v>2374.069311961532</v>
      </c>
      <c r="N13" s="112">
        <f t="shared" si="1"/>
        <v>2370</v>
      </c>
      <c r="O13" s="106">
        <f t="shared" si="2"/>
        <v>4.069311961532094</v>
      </c>
      <c r="P13" s="102">
        <v>498</v>
      </c>
      <c r="Q13" s="115">
        <f t="shared" si="3"/>
        <v>-5.57251708973746</v>
      </c>
    </row>
    <row r="14" spans="1:17" ht="25.5">
      <c r="A14" s="107">
        <v>8</v>
      </c>
      <c r="B14" s="108" t="s">
        <v>141</v>
      </c>
      <c r="C14" s="109">
        <v>2880</v>
      </c>
      <c r="D14" s="104">
        <v>7</v>
      </c>
      <c r="E14" s="104">
        <f>C14/C15</f>
        <v>0.15674663647842557</v>
      </c>
      <c r="F14" s="110">
        <f>F15*E14</f>
        <v>3152.801846127052</v>
      </c>
      <c r="G14" s="109">
        <v>6050</v>
      </c>
      <c r="H14" s="110">
        <f>G14/G15</f>
        <v>0.20166666666666666</v>
      </c>
      <c r="I14" s="104">
        <f>I15*H14</f>
        <v>5848.333333333333</v>
      </c>
      <c r="J14" s="111">
        <v>470</v>
      </c>
      <c r="K14" s="110">
        <f>J14/J15</f>
        <v>0.11298076923076923</v>
      </c>
      <c r="L14" s="110">
        <f>L15*K14</f>
        <v>508.41346153846155</v>
      </c>
      <c r="M14" s="112">
        <f t="shared" si="0"/>
        <v>9509.548640998846</v>
      </c>
      <c r="N14" s="112">
        <f t="shared" si="1"/>
        <v>9400</v>
      </c>
      <c r="O14" s="106">
        <f t="shared" si="2"/>
        <v>109.54864099884617</v>
      </c>
      <c r="P14" s="102">
        <v>3276</v>
      </c>
      <c r="Q14" s="115">
        <f t="shared" si="3"/>
        <v>123.19815387294784</v>
      </c>
    </row>
    <row r="15" spans="1:17" ht="12.75">
      <c r="A15" s="107"/>
      <c r="B15" s="103" t="s">
        <v>14</v>
      </c>
      <c r="C15" s="113">
        <f>SUM(C7:C14)</f>
        <v>18373.6</v>
      </c>
      <c r="D15" s="112"/>
      <c r="E15" s="112">
        <f>E7+E8+E9+E10+E11+E12+E13+E14</f>
        <v>1</v>
      </c>
      <c r="F15" s="112">
        <v>20114</v>
      </c>
      <c r="G15" s="112">
        <f>SUM(G7:G14)</f>
        <v>30000</v>
      </c>
      <c r="H15" s="112">
        <f>SUM(H7:H14)</f>
        <v>1</v>
      </c>
      <c r="I15" s="112">
        <v>29000</v>
      </c>
      <c r="J15" s="112">
        <f>SUM(J7:J14)</f>
        <v>4160</v>
      </c>
      <c r="K15" s="112">
        <f>SUM(K7:K14)</f>
        <v>1</v>
      </c>
      <c r="L15" s="112">
        <v>4500</v>
      </c>
      <c r="M15" s="112">
        <f>SUM(M7:M14)</f>
        <v>53614</v>
      </c>
      <c r="N15" s="112">
        <f t="shared" si="1"/>
        <v>52533.6</v>
      </c>
      <c r="O15" s="106">
        <f t="shared" si="2"/>
        <v>1080.4000000000015</v>
      </c>
      <c r="P15" s="115">
        <f>SUM(P7:P14)</f>
        <v>20114</v>
      </c>
      <c r="Q15" s="115">
        <f t="shared" si="3"/>
        <v>0</v>
      </c>
    </row>
    <row r="16" spans="9:13" ht="12.75">
      <c r="I16" s="106"/>
      <c r="M16" s="106"/>
    </row>
    <row r="17" spans="1:13" ht="17.25" customHeight="1">
      <c r="A17" s="230"/>
      <c r="B17" s="230"/>
      <c r="C17" s="230"/>
      <c r="D17" s="114"/>
      <c r="E17" s="233"/>
      <c r="F17" s="233"/>
      <c r="G17" s="233"/>
      <c r="K17" s="233"/>
      <c r="L17" s="233"/>
      <c r="M17" s="233"/>
    </row>
  </sheetData>
  <sheetProtection/>
  <mergeCells count="11">
    <mergeCell ref="A3:M3"/>
    <mergeCell ref="A5:A6"/>
    <mergeCell ref="B5:B6"/>
    <mergeCell ref="C5:F5"/>
    <mergeCell ref="G5:I5"/>
    <mergeCell ref="A17:C17"/>
    <mergeCell ref="J5:L5"/>
    <mergeCell ref="M5:M6"/>
    <mergeCell ref="E17:G17"/>
    <mergeCell ref="K17:M17"/>
    <mergeCell ref="N5:N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Z20"/>
  <sheetViews>
    <sheetView tabSelected="1" zoomScale="90" zoomScaleNormal="90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J10" sqref="J10"/>
    </sheetView>
  </sheetViews>
  <sheetFormatPr defaultColWidth="9.00390625" defaultRowHeight="12.75"/>
  <cols>
    <col min="1" max="1" width="3.625" style="0" customWidth="1"/>
    <col min="2" max="2" width="19.00390625" style="0" customWidth="1"/>
    <col min="3" max="3" width="12.25390625" style="0" customWidth="1"/>
    <col min="4" max="4" width="11.00390625" style="0" customWidth="1"/>
    <col min="5" max="5" width="12.75390625" style="16" customWidth="1"/>
    <col min="6" max="6" width="12.375" style="135" customWidth="1"/>
    <col min="7" max="7" width="12.00390625" style="23" customWidth="1"/>
    <col min="8" max="8" width="10.875" style="23" customWidth="1"/>
    <col min="9" max="9" width="16.125" style="0" customWidth="1"/>
    <col min="10" max="10" width="16.75390625" style="63" customWidth="1"/>
    <col min="11" max="11" width="11.125" style="33" customWidth="1"/>
    <col min="12" max="12" width="13.375" style="33" customWidth="1"/>
    <col min="13" max="13" width="16.75390625" style="33" customWidth="1"/>
    <col min="14" max="14" width="13.875" style="33" customWidth="1"/>
    <col min="15" max="15" width="16.75390625" style="136" bestFit="1" customWidth="1"/>
    <col min="16" max="16" width="0.2421875" style="22" hidden="1" customWidth="1"/>
    <col min="17" max="17" width="9.25390625" style="54" hidden="1" customWidth="1"/>
    <col min="18" max="18" width="12.75390625" style="66" customWidth="1"/>
    <col min="19" max="19" width="9.75390625" style="63" hidden="1" customWidth="1"/>
    <col min="20" max="21" width="11.25390625" style="63" hidden="1" customWidth="1"/>
    <col min="22" max="22" width="10.875" style="63" hidden="1" customWidth="1"/>
    <col min="23" max="23" width="11.25390625" style="33" hidden="1" customWidth="1"/>
    <col min="24" max="24" width="10.625" style="63" hidden="1" customWidth="1"/>
    <col min="26" max="26" width="12.00390625" style="0" hidden="1" customWidth="1"/>
  </cols>
  <sheetData>
    <row r="1" ht="12.75">
      <c r="N1" s="33" t="s">
        <v>193</v>
      </c>
    </row>
    <row r="2" spans="1:22" ht="54" customHeight="1">
      <c r="A2" s="267" t="s">
        <v>192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62"/>
      <c r="T2" s="62"/>
      <c r="U2" s="62"/>
      <c r="V2" s="62"/>
    </row>
    <row r="3" spans="15:17" ht="1.5" customHeight="1">
      <c r="O3" s="135"/>
      <c r="P3" s="21"/>
      <c r="Q3" s="85"/>
    </row>
    <row r="4" spans="1:24" s="195" customFormat="1" ht="198" customHeight="1">
      <c r="A4" s="182" t="s">
        <v>0</v>
      </c>
      <c r="B4" s="182" t="s">
        <v>1</v>
      </c>
      <c r="C4" s="185" t="s">
        <v>12</v>
      </c>
      <c r="D4" s="185" t="s">
        <v>149</v>
      </c>
      <c r="E4" s="181" t="s">
        <v>150</v>
      </c>
      <c r="F4" s="281" t="s">
        <v>86</v>
      </c>
      <c r="G4" s="186" t="s">
        <v>83</v>
      </c>
      <c r="H4" s="186" t="s">
        <v>99</v>
      </c>
      <c r="I4" s="182" t="s">
        <v>108</v>
      </c>
      <c r="J4" s="187" t="s">
        <v>94</v>
      </c>
      <c r="K4" s="188" t="s">
        <v>111</v>
      </c>
      <c r="L4" s="186" t="s">
        <v>114</v>
      </c>
      <c r="M4" s="182" t="s">
        <v>100</v>
      </c>
      <c r="N4" s="189" t="s">
        <v>104</v>
      </c>
      <c r="O4" s="281" t="s">
        <v>122</v>
      </c>
      <c r="P4" s="190" t="s">
        <v>123</v>
      </c>
      <c r="Q4" s="191" t="s">
        <v>124</v>
      </c>
      <c r="R4" s="192" t="s">
        <v>125</v>
      </c>
      <c r="S4" s="187">
        <v>2018</v>
      </c>
      <c r="T4" s="187" t="s">
        <v>115</v>
      </c>
      <c r="U4" s="193" t="s">
        <v>117</v>
      </c>
      <c r="V4" s="187" t="s">
        <v>126</v>
      </c>
      <c r="W4" s="194" t="s">
        <v>127</v>
      </c>
      <c r="X4" s="194" t="s">
        <v>128</v>
      </c>
    </row>
    <row r="5" spans="1:24" ht="12.75">
      <c r="A5" s="15">
        <v>1</v>
      </c>
      <c r="B5" s="15">
        <v>2</v>
      </c>
      <c r="C5" s="15">
        <v>3</v>
      </c>
      <c r="D5" s="15"/>
      <c r="E5" s="30">
        <v>4</v>
      </c>
      <c r="F5" s="282" t="s">
        <v>87</v>
      </c>
      <c r="G5" s="30">
        <v>5</v>
      </c>
      <c r="H5" s="30">
        <v>6</v>
      </c>
      <c r="I5" s="15">
        <v>7</v>
      </c>
      <c r="J5" s="47">
        <v>8</v>
      </c>
      <c r="K5" s="25">
        <v>9</v>
      </c>
      <c r="L5" s="25">
        <v>10</v>
      </c>
      <c r="M5" s="25">
        <v>11</v>
      </c>
      <c r="N5" s="25">
        <v>12</v>
      </c>
      <c r="O5" s="284">
        <v>13</v>
      </c>
      <c r="P5" s="49"/>
      <c r="Q5" s="86"/>
      <c r="R5" s="75">
        <v>14</v>
      </c>
      <c r="S5" s="47"/>
      <c r="T5" s="65"/>
      <c r="U5" s="65"/>
      <c r="V5" s="65"/>
      <c r="W5" s="4"/>
      <c r="X5" s="65"/>
    </row>
    <row r="6" spans="1:26" ht="23.25" customHeight="1">
      <c r="A6" s="3">
        <v>1</v>
      </c>
      <c r="B6" s="87" t="s">
        <v>134</v>
      </c>
      <c r="C6" s="96">
        <v>6514</v>
      </c>
      <c r="D6" s="170">
        <f>+'Налоговый потен'!M7</f>
        <v>10511.332001014836</v>
      </c>
      <c r="E6" s="170">
        <v>14097.3</v>
      </c>
      <c r="F6" s="283">
        <f>'субв от числ уточ'!D6</f>
        <v>2297.617835357543</v>
      </c>
      <c r="G6" s="53">
        <f>+ИБР!R7</f>
        <v>1.2182725889121064</v>
      </c>
      <c r="H6" s="53">
        <f>БО!D6</f>
        <v>0.8166076961058553</v>
      </c>
      <c r="I6" s="53">
        <f>(E14/C14)*(H15-H6)*G6*C6</f>
        <v>-3034.0880949941206</v>
      </c>
      <c r="J6" s="67">
        <v>0</v>
      </c>
      <c r="K6" s="60">
        <f>БО!G6</f>
        <v>0.8058768589893499</v>
      </c>
      <c r="L6" s="60">
        <f>E6+F6+J6</f>
        <v>16394.91783535754</v>
      </c>
      <c r="M6" s="118">
        <f>(L14/C14)*(1-K6)*G6*C6</f>
        <v>3504.4749455370884</v>
      </c>
      <c r="N6" s="177">
        <f>(4710.6-J14)*M6/M14</f>
        <v>325.8139051632982</v>
      </c>
      <c r="O6" s="285">
        <f>J6+N6</f>
        <v>325.8139051632982</v>
      </c>
      <c r="P6" s="52">
        <v>0</v>
      </c>
      <c r="Q6" s="171">
        <f aca="true" t="shared" si="0" ref="Q6:Q13">O6-P6</f>
        <v>325.8139051632982</v>
      </c>
      <c r="R6" s="67">
        <f>F6+O6</f>
        <v>2623.4317405208412</v>
      </c>
      <c r="S6" s="39">
        <v>4005.19</v>
      </c>
      <c r="T6" s="50">
        <f aca="true" t="shared" si="1" ref="T6:T14">R6-S6</f>
        <v>-1381.7582594791588</v>
      </c>
      <c r="U6" s="50">
        <f>E6+R6</f>
        <v>16720.73174052084</v>
      </c>
      <c r="V6" s="39">
        <f aca="true" t="shared" si="2" ref="V6:V14">U6/C6*1000</f>
        <v>2566.8915782193494</v>
      </c>
      <c r="W6" s="35">
        <f aca="true" t="shared" si="3" ref="W6:W13">D6+R6</f>
        <v>13134.763741535677</v>
      </c>
      <c r="X6" s="39">
        <f aca="true" t="shared" si="4" ref="X6:X14">W6/C6*1000</f>
        <v>2016.3898897045867</v>
      </c>
      <c r="Z6" s="179">
        <v>325.8139051632982</v>
      </c>
    </row>
    <row r="7" spans="1:26" ht="27" customHeight="1">
      <c r="A7" s="3">
        <v>2</v>
      </c>
      <c r="B7" s="87" t="s">
        <v>135</v>
      </c>
      <c r="C7" s="96">
        <v>5840</v>
      </c>
      <c r="D7" s="170">
        <f>+'Налоговый потен'!M8</f>
        <v>8692.482962734717</v>
      </c>
      <c r="E7" s="170">
        <v>12770.6</v>
      </c>
      <c r="F7" s="283">
        <f>'субв от числ уточ'!D7</f>
        <v>2059.884580670563</v>
      </c>
      <c r="G7" s="53">
        <f>+ИБР!R8</f>
        <v>1.2313357224150479</v>
      </c>
      <c r="H7" s="53">
        <f>БО!D7</f>
        <v>0.756496539686391</v>
      </c>
      <c r="I7" s="53">
        <f>(E14/C14)*(H15-H7)*G7*C7</f>
        <v>-1929.8364915013867</v>
      </c>
      <c r="J7" s="67">
        <v>0</v>
      </c>
      <c r="K7" s="60">
        <f>БО!G7</f>
        <v>0.746555608214295</v>
      </c>
      <c r="L7" s="60">
        <f>E7+F7+J7</f>
        <v>14830.484580670563</v>
      </c>
      <c r="M7" s="118">
        <f>(L14/C14)*(1-K7)*G7*C7</f>
        <v>4145.963118836765</v>
      </c>
      <c r="N7" s="177">
        <f>(4710.6-J14)*M7/M14</f>
        <v>385.4535858877973</v>
      </c>
      <c r="O7" s="285">
        <f aca="true" t="shared" si="5" ref="O7:O13">J7+N7</f>
        <v>385.4535858877973</v>
      </c>
      <c r="P7" s="52">
        <v>241.34851528354503</v>
      </c>
      <c r="Q7" s="171">
        <f t="shared" si="0"/>
        <v>144.1050706042523</v>
      </c>
      <c r="R7" s="67">
        <f aca="true" t="shared" si="6" ref="R7:R13">F7+O7</f>
        <v>2445.33816655836</v>
      </c>
      <c r="S7" s="39">
        <v>2752.61</v>
      </c>
      <c r="T7" s="50">
        <f t="shared" si="1"/>
        <v>-307.27183344163996</v>
      </c>
      <c r="U7" s="50">
        <f aca="true" t="shared" si="7" ref="U7:U14">E7+R7</f>
        <v>15215.93816655836</v>
      </c>
      <c r="V7" s="39">
        <f t="shared" si="2"/>
        <v>2605.4688641367056</v>
      </c>
      <c r="W7" s="35">
        <f t="shared" si="3"/>
        <v>11137.821129293077</v>
      </c>
      <c r="X7" s="39">
        <f t="shared" si="4"/>
        <v>1907.161152276212</v>
      </c>
      <c r="Z7" s="179">
        <v>385.4535858877973</v>
      </c>
    </row>
    <row r="8" spans="1:26" ht="25.5">
      <c r="A8" s="3">
        <v>3</v>
      </c>
      <c r="B8" s="87" t="s">
        <v>136</v>
      </c>
      <c r="C8" s="96">
        <v>4177</v>
      </c>
      <c r="D8" s="170">
        <f>+'Налоговый потен'!M9</f>
        <v>4318.979438028699</v>
      </c>
      <c r="E8" s="170">
        <v>4766</v>
      </c>
      <c r="F8" s="283">
        <f>'субв от числ уточ'!D8</f>
        <v>1473.311283126874</v>
      </c>
      <c r="G8" s="53">
        <f>+ИБР!R9</f>
        <v>1.7130213588930148</v>
      </c>
      <c r="H8" s="53">
        <f>БО!D8</f>
        <v>0.40955786356708684</v>
      </c>
      <c r="I8" s="53">
        <f>(E14/C14)*(H15-H8)*G8*C8</f>
        <v>2786.005352235699</v>
      </c>
      <c r="J8" s="67">
        <f>I8*0.1</f>
        <v>278.6005352235699</v>
      </c>
      <c r="K8" s="60">
        <f>БО!G8</f>
        <v>0.4236162268096934</v>
      </c>
      <c r="L8" s="60">
        <f aca="true" t="shared" si="8" ref="L8:L13">E8+F8+J8</f>
        <v>6517.911818350443</v>
      </c>
      <c r="M8" s="118">
        <f>(L14/C14)*(1-K8)*G8*C8</f>
        <v>9381.935042290213</v>
      </c>
      <c r="N8" s="177">
        <f>(4710.6-J14)*M8/M14</f>
        <v>872.2461828439452</v>
      </c>
      <c r="O8" s="285">
        <f t="shared" si="5"/>
        <v>1150.8467180675152</v>
      </c>
      <c r="P8" s="52">
        <v>941.1911940223606</v>
      </c>
      <c r="Q8" s="171">
        <f t="shared" si="0"/>
        <v>209.6555240451546</v>
      </c>
      <c r="R8" s="67">
        <f t="shared" si="6"/>
        <v>2624.1580011943893</v>
      </c>
      <c r="S8" s="39">
        <v>1495.48</v>
      </c>
      <c r="T8" s="50">
        <f t="shared" si="1"/>
        <v>1128.6780011943893</v>
      </c>
      <c r="U8" s="50">
        <f t="shared" si="7"/>
        <v>7390.15800119439</v>
      </c>
      <c r="V8" s="39">
        <f t="shared" si="2"/>
        <v>1769.2501798406488</v>
      </c>
      <c r="W8" s="35">
        <f t="shared" si="3"/>
        <v>6943.137439223088</v>
      </c>
      <c r="X8" s="39">
        <f t="shared" si="4"/>
        <v>1662.2306533931262</v>
      </c>
      <c r="Z8" s="179">
        <v>1150.8467180675152</v>
      </c>
    </row>
    <row r="9" spans="1:26" ht="25.5">
      <c r="A9" s="3">
        <v>4</v>
      </c>
      <c r="B9" s="87" t="s">
        <v>137</v>
      </c>
      <c r="C9" s="96">
        <v>1669</v>
      </c>
      <c r="D9" s="170">
        <f>+'Налоговый потен'!M10</f>
        <v>2497.0449337566833</v>
      </c>
      <c r="E9" s="170">
        <v>2959.9</v>
      </c>
      <c r="F9" s="283">
        <f>'субв от числ уточ'!D9</f>
        <v>588.6896173183511</v>
      </c>
      <c r="G9" s="53">
        <f>+ИБР!R10</f>
        <v>2.9603952514046226</v>
      </c>
      <c r="H9" s="53">
        <f>БО!D9</f>
        <v>0.31596916208450115</v>
      </c>
      <c r="I9" s="53">
        <f>(E14/C14)*(H15-H9)*G9*C9</f>
        <v>2800.4515816508892</v>
      </c>
      <c r="J9" s="67">
        <f>I9*0.1</f>
        <v>280.04515816508894</v>
      </c>
      <c r="K9" s="60">
        <f>БО!G9</f>
        <v>0.34011598172870994</v>
      </c>
      <c r="L9" s="60">
        <f t="shared" si="8"/>
        <v>3828.63477548344</v>
      </c>
      <c r="M9" s="118">
        <f>(L14/C14)*(1-K9)*G9*C9</f>
        <v>7416.97932827822</v>
      </c>
      <c r="N9" s="177">
        <f>(4710.6-J14)*M9/M14</f>
        <v>689.56264119943</v>
      </c>
      <c r="O9" s="285">
        <f t="shared" si="5"/>
        <v>969.607799364519</v>
      </c>
      <c r="P9" s="52">
        <v>125.43453098840365</v>
      </c>
      <c r="Q9" s="171">
        <f t="shared" si="0"/>
        <v>844.1732683761154</v>
      </c>
      <c r="R9" s="67">
        <f t="shared" si="6"/>
        <v>1558.29741668287</v>
      </c>
      <c r="S9" s="39">
        <v>592.26</v>
      </c>
      <c r="T9" s="50">
        <f t="shared" si="1"/>
        <v>966.0374166828701</v>
      </c>
      <c r="U9" s="50">
        <f t="shared" si="7"/>
        <v>4518.19741668287</v>
      </c>
      <c r="V9" s="39">
        <f t="shared" si="2"/>
        <v>2707.12847015151</v>
      </c>
      <c r="W9" s="35">
        <f t="shared" si="3"/>
        <v>4055.3423504395532</v>
      </c>
      <c r="X9" s="39">
        <f t="shared" si="4"/>
        <v>2429.803685104586</v>
      </c>
      <c r="Z9" s="179">
        <v>969.607799364519</v>
      </c>
    </row>
    <row r="10" spans="1:26" ht="25.5">
      <c r="A10" s="3">
        <v>5</v>
      </c>
      <c r="B10" s="87" t="s">
        <v>138</v>
      </c>
      <c r="C10" s="96">
        <v>4182</v>
      </c>
      <c r="D10" s="170">
        <f>+'Налоговый потен'!M11</f>
        <v>4883.530102555171</v>
      </c>
      <c r="E10" s="170">
        <v>5695</v>
      </c>
      <c r="F10" s="283">
        <f>'субв от числ уточ'!D10</f>
        <v>1475.0748829390918</v>
      </c>
      <c r="G10" s="53">
        <f>+ИБР!R11</f>
        <v>1.4836134848480969</v>
      </c>
      <c r="H10" s="53">
        <f>БО!D10</f>
        <v>0.5185005440215853</v>
      </c>
      <c r="I10" s="53">
        <f>(E14/C14)*(H15-H10)*G10*C10</f>
        <v>1134.3506562671494</v>
      </c>
      <c r="J10" s="67">
        <f>I10*0.1</f>
        <v>113.43506562671494</v>
      </c>
      <c r="K10" s="60">
        <f>БО!G10</f>
        <v>0.5208153584743479</v>
      </c>
      <c r="L10" s="60">
        <f t="shared" si="8"/>
        <v>7283.5099485658075</v>
      </c>
      <c r="M10" s="118">
        <f>(L14/C14)*(1-K10)*G10*C10</f>
        <v>6763.338329833189</v>
      </c>
      <c r="N10" s="177">
        <f>(4710.6-J14)*M10/M14</f>
        <v>628.7931023703903</v>
      </c>
      <c r="O10" s="285">
        <f t="shared" si="5"/>
        <v>742.2281679971053</v>
      </c>
      <c r="P10" s="52">
        <v>541.2806891713745</v>
      </c>
      <c r="Q10" s="171">
        <f t="shared" si="0"/>
        <v>200.94747882573074</v>
      </c>
      <c r="R10" s="67">
        <f t="shared" si="6"/>
        <v>2217.303050936197</v>
      </c>
      <c r="S10" s="39">
        <v>1268.9</v>
      </c>
      <c r="T10" s="50">
        <f t="shared" si="1"/>
        <v>948.4030509361969</v>
      </c>
      <c r="U10" s="50">
        <f t="shared" si="7"/>
        <v>7912.303050936197</v>
      </c>
      <c r="V10" s="39">
        <f t="shared" si="2"/>
        <v>1891.9902082582967</v>
      </c>
      <c r="W10" s="35">
        <f t="shared" si="3"/>
        <v>7100.833153491368</v>
      </c>
      <c r="X10" s="39">
        <f t="shared" si="4"/>
        <v>1697.9514953350952</v>
      </c>
      <c r="Z10" s="179">
        <v>742.2281679971053</v>
      </c>
    </row>
    <row r="11" spans="1:26" ht="25.5">
      <c r="A11" s="3">
        <v>6</v>
      </c>
      <c r="B11" s="87" t="s">
        <v>139</v>
      </c>
      <c r="C11" s="96">
        <v>4840</v>
      </c>
      <c r="D11" s="170">
        <f>+'Налоговый потен'!M12</f>
        <v>10827.012608949519</v>
      </c>
      <c r="E11" s="170">
        <v>11061</v>
      </c>
      <c r="F11" s="283">
        <f>'субв от числ уточ'!D11</f>
        <v>1707.1646182269737</v>
      </c>
      <c r="G11" s="53">
        <f>+ИБР!R12</f>
        <v>1.5946262674043417</v>
      </c>
      <c r="H11" s="53">
        <f>БО!D11</f>
        <v>0.8216440724424036</v>
      </c>
      <c r="I11" s="53">
        <f>(E14/C14)*(H15-H11)*G11*C11</f>
        <v>-3024.4947687670565</v>
      </c>
      <c r="J11" s="67">
        <v>0</v>
      </c>
      <c r="K11" s="60">
        <f>БО!G11</f>
        <v>0.8108470535664283</v>
      </c>
      <c r="L11" s="60">
        <f t="shared" si="8"/>
        <v>12768.164618226974</v>
      </c>
      <c r="M11" s="118">
        <f>(L14/C14)*(1-K11)*G11*C11</f>
        <v>3321.0147824951396</v>
      </c>
      <c r="N11" s="177">
        <f>(4710.6-J14)*M11/M14</f>
        <v>308.7574635874456</v>
      </c>
      <c r="O11" s="285">
        <f t="shared" si="5"/>
        <v>308.7574635874456</v>
      </c>
      <c r="P11" s="52">
        <v>108.70195746812571</v>
      </c>
      <c r="Q11" s="171">
        <f t="shared" si="0"/>
        <v>200.0555061193199</v>
      </c>
      <c r="R11" s="67">
        <f t="shared" si="6"/>
        <v>2015.9220818144195</v>
      </c>
      <c r="S11" s="39">
        <v>911.81</v>
      </c>
      <c r="T11" s="50">
        <f t="shared" si="1"/>
        <v>1104.1120818144195</v>
      </c>
      <c r="U11" s="50">
        <f t="shared" si="7"/>
        <v>13076.92208181442</v>
      </c>
      <c r="V11" s="39">
        <f t="shared" si="2"/>
        <v>2701.843405333558</v>
      </c>
      <c r="W11" s="35">
        <f t="shared" si="3"/>
        <v>12842.934690763937</v>
      </c>
      <c r="X11" s="39">
        <f t="shared" si="4"/>
        <v>2653.4989030504003</v>
      </c>
      <c r="Z11" s="179">
        <v>308.7574635874456</v>
      </c>
    </row>
    <row r="12" spans="1:26" ht="25.5">
      <c r="A12" s="3">
        <v>7</v>
      </c>
      <c r="B12" s="87" t="s">
        <v>140</v>
      </c>
      <c r="C12" s="96">
        <v>2271</v>
      </c>
      <c r="D12" s="170">
        <f>+'Налоговый потен'!M13</f>
        <v>2374.069311961532</v>
      </c>
      <c r="E12" s="170">
        <v>2750.8</v>
      </c>
      <c r="F12" s="283">
        <f>'субв от числ уточ'!D12</f>
        <v>801.0270347093921</v>
      </c>
      <c r="G12" s="53">
        <f>+ИБР!R13</f>
        <v>1.8939792804519788</v>
      </c>
      <c r="H12" s="53">
        <f>БО!D12</f>
        <v>0.3734708594857954</v>
      </c>
      <c r="I12" s="53">
        <f>(E14/C14)*(H15-H12)*G12*C12</f>
        <v>1969.0039282744829</v>
      </c>
      <c r="J12" s="67">
        <f>I12*0.1</f>
        <v>196.9003928274483</v>
      </c>
      <c r="K12" s="60">
        <f>БО!G12</f>
        <v>0.3914192453654432</v>
      </c>
      <c r="L12" s="60">
        <f t="shared" si="8"/>
        <v>3748.7274275368404</v>
      </c>
      <c r="M12" s="118">
        <f>(L14/C14)*(1-K12)*G12*C12</f>
        <v>5954.756332736361</v>
      </c>
      <c r="N12" s="177">
        <f>(4710.6-J14)*M12/M14</f>
        <v>553.618572030445</v>
      </c>
      <c r="O12" s="285">
        <f t="shared" si="5"/>
        <v>750.5189648578933</v>
      </c>
      <c r="P12" s="52">
        <v>541.9637901983019</v>
      </c>
      <c r="Q12" s="171">
        <f t="shared" si="0"/>
        <v>208.55517465959133</v>
      </c>
      <c r="R12" s="67">
        <f t="shared" si="6"/>
        <v>1551.5459995672854</v>
      </c>
      <c r="S12" s="39">
        <v>1584.47</v>
      </c>
      <c r="T12" s="50">
        <f t="shared" si="1"/>
        <v>-32.92400043271459</v>
      </c>
      <c r="U12" s="50">
        <f t="shared" si="7"/>
        <v>4302.345999567286</v>
      </c>
      <c r="V12" s="39">
        <f t="shared" si="2"/>
        <v>1894.4720385589105</v>
      </c>
      <c r="W12" s="35">
        <f t="shared" si="3"/>
        <v>3925.6153115288175</v>
      </c>
      <c r="X12" s="39">
        <f t="shared" si="4"/>
        <v>1728.5844612632397</v>
      </c>
      <c r="Z12" s="179">
        <v>750.5189648578933</v>
      </c>
    </row>
    <row r="13" spans="1:26" ht="36" customHeight="1">
      <c r="A13" s="3">
        <v>8</v>
      </c>
      <c r="B13" s="87" t="s">
        <v>141</v>
      </c>
      <c r="C13" s="96">
        <v>3524</v>
      </c>
      <c r="D13" s="170">
        <f>+'Налоговый потен'!M14</f>
        <v>9509.548640998846</v>
      </c>
      <c r="E13" s="170">
        <v>8493.5</v>
      </c>
      <c r="F13" s="283">
        <f>'субв от числ уточ'!D13</f>
        <v>1242.98514765121</v>
      </c>
      <c r="G13" s="53">
        <f>+ИБР!R14</f>
        <v>1.6272432378236796</v>
      </c>
      <c r="H13" s="53">
        <f>БО!D13</f>
        <v>0.9486687864769116</v>
      </c>
      <c r="I13" s="53">
        <f>(E14/C14)*(H15-H13)*G13*C13</f>
        <v>-3628.107530831563</v>
      </c>
      <c r="J13" s="67">
        <v>0</v>
      </c>
      <c r="K13" s="60">
        <f>БО!G13</f>
        <v>0.9362025676624897</v>
      </c>
      <c r="L13" s="60">
        <f t="shared" si="8"/>
        <v>9736.48514765121</v>
      </c>
      <c r="M13" s="118">
        <f>(L14/C14)*(1-K13)*G13*C13</f>
        <v>832.2331250827555</v>
      </c>
      <c r="N13" s="177">
        <f>(4710.6-J14)*M13/M14</f>
        <v>77.37339507442587</v>
      </c>
      <c r="O13" s="285">
        <f t="shared" si="5"/>
        <v>77.37339507442587</v>
      </c>
      <c r="P13" s="52">
        <v>400.6436276232705</v>
      </c>
      <c r="Q13" s="171">
        <f t="shared" si="0"/>
        <v>-323.27023254884466</v>
      </c>
      <c r="R13" s="67">
        <f t="shared" si="6"/>
        <v>1320.3585427256357</v>
      </c>
      <c r="S13" s="39">
        <v>1199.66</v>
      </c>
      <c r="T13" s="50">
        <f t="shared" si="1"/>
        <v>120.69854272563566</v>
      </c>
      <c r="U13" s="50">
        <f t="shared" si="7"/>
        <v>9813.858542725637</v>
      </c>
      <c r="V13" s="39">
        <f t="shared" si="2"/>
        <v>2784.8633776179445</v>
      </c>
      <c r="W13" s="35">
        <f t="shared" si="3"/>
        <v>10829.907183724481</v>
      </c>
      <c r="X13" s="39">
        <f t="shared" si="4"/>
        <v>3073.1859204666516</v>
      </c>
      <c r="Z13" s="179">
        <v>77.37339507442587</v>
      </c>
    </row>
    <row r="14" spans="1:26" ht="12.75">
      <c r="A14" s="3"/>
      <c r="B14" s="9" t="s">
        <v>14</v>
      </c>
      <c r="C14" s="98">
        <f>SUM(C6:C13)</f>
        <v>33017</v>
      </c>
      <c r="D14" s="52">
        <f>SUM(D6:D13)</f>
        <v>53614</v>
      </c>
      <c r="E14" s="52">
        <f>SUM(E6:E13)</f>
        <v>62594.100000000006</v>
      </c>
      <c r="F14" s="283">
        <f>SUM(F6:F13)</f>
        <v>11645.755</v>
      </c>
      <c r="G14" s="53"/>
      <c r="H14" s="52"/>
      <c r="I14" s="52">
        <f>SUM(I6:I13)</f>
        <v>-2926.7153676659063</v>
      </c>
      <c r="J14" s="52">
        <f>+J8+J9+J10+J12</f>
        <v>868.9811518428221</v>
      </c>
      <c r="K14" s="60"/>
      <c r="L14" s="52">
        <f aca="true" t="shared" si="9" ref="L14:S14">SUM(L6:L13)</f>
        <v>75108.83615184281</v>
      </c>
      <c r="M14" s="52">
        <f t="shared" si="9"/>
        <v>41320.695005089736</v>
      </c>
      <c r="N14" s="178">
        <f>SUM(N6:N13)</f>
        <v>3841.6188481571776</v>
      </c>
      <c r="O14" s="285">
        <f t="shared" si="9"/>
        <v>4710.6</v>
      </c>
      <c r="P14" s="52">
        <f t="shared" si="9"/>
        <v>2900.564304755382</v>
      </c>
      <c r="Q14" s="52">
        <f t="shared" si="9"/>
        <v>1810.035695244618</v>
      </c>
      <c r="R14" s="52">
        <f t="shared" si="9"/>
        <v>16356.355</v>
      </c>
      <c r="S14" s="13">
        <f t="shared" si="9"/>
        <v>13810.38</v>
      </c>
      <c r="T14" s="50">
        <f t="shared" si="1"/>
        <v>2545.9750000000004</v>
      </c>
      <c r="U14" s="39">
        <f t="shared" si="7"/>
        <v>78950.455</v>
      </c>
      <c r="V14" s="39">
        <f t="shared" si="2"/>
        <v>2391.206196807705</v>
      </c>
      <c r="W14" s="39">
        <f>SUM(W6:W13)</f>
        <v>69970.355</v>
      </c>
      <c r="X14" s="39">
        <f t="shared" si="4"/>
        <v>2119.222067419814</v>
      </c>
      <c r="Z14" s="179">
        <f>SUM(Z6:Z13)</f>
        <v>4710.6</v>
      </c>
    </row>
    <row r="15" spans="1:24" ht="25.5">
      <c r="A15" s="3"/>
      <c r="B15" s="2"/>
      <c r="C15" s="52"/>
      <c r="D15" s="52"/>
      <c r="E15" s="52"/>
      <c r="F15" s="130"/>
      <c r="G15" s="53" t="s">
        <v>93</v>
      </c>
      <c r="H15" s="53">
        <f>БО!D15</f>
        <v>0.614938220122403</v>
      </c>
      <c r="I15" s="53"/>
      <c r="J15" s="172" t="s">
        <v>159</v>
      </c>
      <c r="K15" s="133">
        <f>+БО!G15</f>
        <v>0.6381592746955997</v>
      </c>
      <c r="L15" s="133">
        <v>1</v>
      </c>
      <c r="M15" s="133"/>
      <c r="N15" s="279"/>
      <c r="O15" s="130"/>
      <c r="P15" s="52"/>
      <c r="Q15" s="171"/>
      <c r="R15" s="67"/>
      <c r="S15" s="65"/>
      <c r="T15" s="65"/>
      <c r="U15" s="39">
        <f>E14+F14+O14</f>
        <v>78950.45500000002</v>
      </c>
      <c r="V15" s="65"/>
      <c r="W15" s="4"/>
      <c r="X15" s="39"/>
    </row>
    <row r="16" spans="2:24" ht="21" customHeight="1" hidden="1">
      <c r="B16" s="1"/>
      <c r="C16" s="16"/>
      <c r="D16" s="16"/>
      <c r="H16" s="29"/>
      <c r="I16" s="16"/>
      <c r="J16" s="66"/>
      <c r="K16" s="32" t="s">
        <v>112</v>
      </c>
      <c r="L16" s="32"/>
      <c r="M16" s="32"/>
      <c r="N16" s="32"/>
      <c r="O16" s="135"/>
      <c r="P16" s="85"/>
      <c r="Q16" s="119"/>
      <c r="R16" s="63"/>
      <c r="V16" s="33"/>
      <c r="W16" s="63"/>
      <c r="X16"/>
    </row>
    <row r="17" spans="2:9" ht="12.75" hidden="1">
      <c r="B17" s="240"/>
      <c r="C17" s="240"/>
      <c r="D17" s="240"/>
      <c r="E17" s="240"/>
      <c r="I17" s="6">
        <f>+(E14/C14)*G6*H15*C6</f>
        <v>9251.656571881758</v>
      </c>
    </row>
    <row r="18" ht="12.75" hidden="1">
      <c r="I18" s="6">
        <f>+(E14/C14)*G7*H15*C7</f>
        <v>8383.330777494099</v>
      </c>
    </row>
    <row r="19" ht="12.75" hidden="1"/>
    <row r="20" ht="12.75">
      <c r="N20" s="280"/>
    </row>
  </sheetData>
  <sheetProtection/>
  <mergeCells count="2">
    <mergeCell ref="B17:E17"/>
    <mergeCell ref="A2:R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2" r:id="rId1"/>
  <colBreaks count="1" manualBreakCount="1">
    <brk id="18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zoomScalePageLayoutView="0" workbookViewId="0" topLeftCell="A1">
      <selection activeCell="R9" sqref="R9"/>
    </sheetView>
  </sheetViews>
  <sheetFormatPr defaultColWidth="9.00390625" defaultRowHeight="12.75"/>
  <cols>
    <col min="1" max="1" width="5.625" style="138" customWidth="1"/>
    <col min="2" max="2" width="26.625" style="138" customWidth="1"/>
    <col min="3" max="3" width="13.75390625" style="200" customWidth="1"/>
    <col min="4" max="4" width="14.875" style="135" customWidth="1"/>
    <col min="5" max="5" width="12.75390625" style="138" customWidth="1"/>
    <col min="6" max="6" width="12.375" style="138" customWidth="1"/>
    <col min="7" max="7" width="14.125" style="135" customWidth="1"/>
    <col min="8" max="8" width="13.00390625" style="135" customWidth="1"/>
    <col min="9" max="9" width="14.375" style="201" customWidth="1"/>
    <col min="10" max="10" width="13.625" style="138" customWidth="1"/>
    <col min="11" max="11" width="12.875" style="138" customWidth="1"/>
    <col min="12" max="12" width="11.375" style="138" bestFit="1" customWidth="1"/>
    <col min="13" max="13" width="9.125" style="138" customWidth="1"/>
    <col min="14" max="14" width="12.375" style="138" hidden="1" customWidth="1"/>
    <col min="15" max="16384" width="9.125" style="138" customWidth="1"/>
  </cols>
  <sheetData>
    <row r="1" ht="12.75">
      <c r="I1" s="201" t="s">
        <v>195</v>
      </c>
    </row>
    <row r="2" spans="1:11" ht="59.25" customHeight="1">
      <c r="A2" s="271" t="s">
        <v>194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</row>
    <row r="3" spans="1:11" ht="12.75">
      <c r="A3" s="262" t="s">
        <v>0</v>
      </c>
      <c r="B3" s="262" t="s">
        <v>1</v>
      </c>
      <c r="C3" s="268" t="s">
        <v>59</v>
      </c>
      <c r="D3" s="268"/>
      <c r="E3" s="268"/>
      <c r="F3" s="268" t="s">
        <v>85</v>
      </c>
      <c r="G3" s="268"/>
      <c r="H3" s="176"/>
      <c r="I3" s="269" t="s">
        <v>116</v>
      </c>
      <c r="J3" s="270"/>
      <c r="K3" s="202"/>
    </row>
    <row r="4" spans="1:11" ht="54.75" customHeight="1">
      <c r="A4" s="262"/>
      <c r="B4" s="262"/>
      <c r="C4" s="173" t="s">
        <v>121</v>
      </c>
      <c r="D4" s="173" t="s">
        <v>133</v>
      </c>
      <c r="E4" s="103" t="s">
        <v>84</v>
      </c>
      <c r="F4" s="173" t="s">
        <v>121</v>
      </c>
      <c r="G4" s="173" t="s">
        <v>133</v>
      </c>
      <c r="H4" s="103" t="s">
        <v>84</v>
      </c>
      <c r="I4" s="173" t="s">
        <v>155</v>
      </c>
      <c r="J4" s="203" t="s">
        <v>121</v>
      </c>
      <c r="K4" s="103" t="s">
        <v>84</v>
      </c>
    </row>
    <row r="5" spans="1:14" ht="12.75">
      <c r="A5" s="202">
        <v>1</v>
      </c>
      <c r="B5" s="108" t="s">
        <v>134</v>
      </c>
      <c r="C5" s="204">
        <v>2166.327</v>
      </c>
      <c r="D5" s="205">
        <f>+'субв от числ уточ'!D6</f>
        <v>2297.617835357543</v>
      </c>
      <c r="E5" s="205">
        <f>D5-C5</f>
        <v>131.29083535754262</v>
      </c>
      <c r="F5" s="204">
        <v>118.889</v>
      </c>
      <c r="G5" s="205">
        <f>'Дотац 4000'!O6</f>
        <v>325.8139051632982</v>
      </c>
      <c r="H5" s="205">
        <f>+G5-F5</f>
        <v>206.9249051632982</v>
      </c>
      <c r="I5" s="205">
        <f aca="true" t="shared" si="0" ref="I5:I12">D5+G5</f>
        <v>2623.4317405208412</v>
      </c>
      <c r="J5" s="205">
        <f aca="true" t="shared" si="1" ref="J5:J12">C5+F5</f>
        <v>2285.2160000000003</v>
      </c>
      <c r="K5" s="205">
        <f>+I5-J5</f>
        <v>338.2157405208409</v>
      </c>
      <c r="N5" s="147">
        <v>325.81391</v>
      </c>
    </row>
    <row r="6" spans="1:14" ht="12.75">
      <c r="A6" s="202">
        <v>2</v>
      </c>
      <c r="B6" s="108" t="s">
        <v>135</v>
      </c>
      <c r="C6" s="204">
        <v>1969.685</v>
      </c>
      <c r="D6" s="205">
        <f>+'субв от числ уточ'!D7</f>
        <v>2059.884580670563</v>
      </c>
      <c r="E6" s="205">
        <f aca="true" t="shared" si="2" ref="E6:E12">D6-C6</f>
        <v>90.19958067056314</v>
      </c>
      <c r="F6" s="204">
        <v>1008.962</v>
      </c>
      <c r="G6" s="205">
        <f>'Дотац 4000'!O7-0.00001</f>
        <v>385.45357588779734</v>
      </c>
      <c r="H6" s="205">
        <f aca="true" t="shared" si="3" ref="H6:H13">+G6-F6</f>
        <v>-623.5084241122026</v>
      </c>
      <c r="I6" s="205">
        <f t="shared" si="0"/>
        <v>2445.3381565583604</v>
      </c>
      <c r="J6" s="205">
        <f t="shared" si="1"/>
        <v>2978.647</v>
      </c>
      <c r="K6" s="205">
        <f aca="true" t="shared" si="4" ref="K6:K13">+I6-J6</f>
        <v>-533.3088434416395</v>
      </c>
      <c r="L6" s="147"/>
      <c r="N6" s="147">
        <v>385.45358</v>
      </c>
    </row>
    <row r="7" spans="1:14" ht="12.75">
      <c r="A7" s="202">
        <v>3</v>
      </c>
      <c r="B7" s="108" t="s">
        <v>136</v>
      </c>
      <c r="C7" s="204">
        <v>1400.628</v>
      </c>
      <c r="D7" s="205">
        <f>+'субв от числ уточ'!D8</f>
        <v>1473.311283126874</v>
      </c>
      <c r="E7" s="205">
        <f t="shared" si="2"/>
        <v>72.68328312687413</v>
      </c>
      <c r="F7" s="204">
        <v>774.327</v>
      </c>
      <c r="G7" s="205">
        <f>'Дотац 4000'!O8</f>
        <v>1150.8467180675152</v>
      </c>
      <c r="H7" s="205">
        <f t="shared" si="3"/>
        <v>376.5197180675152</v>
      </c>
      <c r="I7" s="205">
        <f t="shared" si="0"/>
        <v>2624.1580011943893</v>
      </c>
      <c r="J7" s="205">
        <f t="shared" si="1"/>
        <v>2174.955</v>
      </c>
      <c r="K7" s="205">
        <f t="shared" si="4"/>
        <v>449.20300119438934</v>
      </c>
      <c r="N7" s="147">
        <v>1150.84672</v>
      </c>
    </row>
    <row r="8" spans="1:14" ht="25.5">
      <c r="A8" s="202">
        <v>4</v>
      </c>
      <c r="B8" s="108" t="s">
        <v>137</v>
      </c>
      <c r="C8" s="204">
        <v>607.538</v>
      </c>
      <c r="D8" s="205">
        <f>+'субв от числ уточ'!D9</f>
        <v>588.6896173183511</v>
      </c>
      <c r="E8" s="205">
        <f t="shared" si="2"/>
        <v>-18.8483826816489</v>
      </c>
      <c r="F8" s="204">
        <v>1161.797</v>
      </c>
      <c r="G8" s="205">
        <f>'Дотац 4000'!O9</f>
        <v>969.607799364519</v>
      </c>
      <c r="H8" s="205">
        <f t="shared" si="3"/>
        <v>-192.18920063548103</v>
      </c>
      <c r="I8" s="205">
        <f t="shared" si="0"/>
        <v>1558.29741668287</v>
      </c>
      <c r="J8" s="205">
        <f t="shared" si="1"/>
        <v>1769.335</v>
      </c>
      <c r="K8" s="205">
        <f t="shared" si="4"/>
        <v>-211.03758331712993</v>
      </c>
      <c r="N8" s="147">
        <v>969.6078</v>
      </c>
    </row>
    <row r="9" spans="1:14" ht="12.75">
      <c r="A9" s="202">
        <v>5</v>
      </c>
      <c r="B9" s="108" t="s">
        <v>138</v>
      </c>
      <c r="C9" s="204">
        <v>1412.368</v>
      </c>
      <c r="D9" s="205">
        <f>+'субв от числ уточ'!D10</f>
        <v>1475.0748829390918</v>
      </c>
      <c r="E9" s="205">
        <f t="shared" si="2"/>
        <v>62.706882939091884</v>
      </c>
      <c r="F9" s="204">
        <v>340.46</v>
      </c>
      <c r="G9" s="205">
        <f>'Дотац 4000'!O10</f>
        <v>742.2281679971053</v>
      </c>
      <c r="H9" s="205">
        <f t="shared" si="3"/>
        <v>401.7681679971053</v>
      </c>
      <c r="I9" s="205">
        <f t="shared" si="0"/>
        <v>2217.303050936197</v>
      </c>
      <c r="J9" s="205">
        <f t="shared" si="1"/>
        <v>1752.828</v>
      </c>
      <c r="K9" s="205">
        <f t="shared" si="4"/>
        <v>464.475050936197</v>
      </c>
      <c r="N9" s="147">
        <v>742.22817</v>
      </c>
    </row>
    <row r="10" spans="1:14" ht="25.5">
      <c r="A10" s="202">
        <v>6</v>
      </c>
      <c r="B10" s="108" t="s">
        <v>139</v>
      </c>
      <c r="C10" s="206">
        <v>1626.294</v>
      </c>
      <c r="D10" s="205">
        <f>+'субв от числ уточ'!D11</f>
        <v>1707.1646182269737</v>
      </c>
      <c r="E10" s="205">
        <f t="shared" si="2"/>
        <v>80.87061822697365</v>
      </c>
      <c r="F10" s="204">
        <v>364.811</v>
      </c>
      <c r="G10" s="205">
        <f>'Дотац 4000'!O11</f>
        <v>308.7574635874456</v>
      </c>
      <c r="H10" s="205">
        <f t="shared" si="3"/>
        <v>-56.053536412554365</v>
      </c>
      <c r="I10" s="205">
        <f t="shared" si="0"/>
        <v>2015.9220818144195</v>
      </c>
      <c r="J10" s="205">
        <f t="shared" si="1"/>
        <v>1991.105</v>
      </c>
      <c r="K10" s="205">
        <f t="shared" si="4"/>
        <v>24.817081814419453</v>
      </c>
      <c r="N10" s="147">
        <v>308.75746</v>
      </c>
    </row>
    <row r="11" spans="1:14" ht="25.5">
      <c r="A11" s="202">
        <v>7</v>
      </c>
      <c r="B11" s="108" t="s">
        <v>140</v>
      </c>
      <c r="C11" s="206">
        <v>764.394</v>
      </c>
      <c r="D11" s="205">
        <f>+'субв от числ уточ'!D12</f>
        <v>801.0270347093921</v>
      </c>
      <c r="E11" s="205">
        <f t="shared" si="2"/>
        <v>36.633034709392064</v>
      </c>
      <c r="F11" s="204">
        <v>723.966</v>
      </c>
      <c r="G11" s="205">
        <f>'Дотац 4000'!O12</f>
        <v>750.5189648578933</v>
      </c>
      <c r="H11" s="205">
        <f t="shared" si="3"/>
        <v>26.552964857893244</v>
      </c>
      <c r="I11" s="205">
        <f t="shared" si="0"/>
        <v>1551.5459995672854</v>
      </c>
      <c r="J11" s="205">
        <f t="shared" si="1"/>
        <v>1488.3600000000001</v>
      </c>
      <c r="K11" s="205">
        <f t="shared" si="4"/>
        <v>63.18599956728531</v>
      </c>
      <c r="N11" s="147">
        <v>750.51896</v>
      </c>
    </row>
    <row r="12" spans="1:14" ht="12.75">
      <c r="A12" s="202">
        <v>8</v>
      </c>
      <c r="B12" s="108" t="s">
        <v>141</v>
      </c>
      <c r="C12" s="206">
        <v>1178.876</v>
      </c>
      <c r="D12" s="205">
        <f>+'субв от числ уточ'!D13</f>
        <v>1242.98514765121</v>
      </c>
      <c r="E12" s="205">
        <f t="shared" si="2"/>
        <v>64.10914765120992</v>
      </c>
      <c r="F12" s="204">
        <v>6.788</v>
      </c>
      <c r="G12" s="205">
        <f>'Дотац 4000'!O13</f>
        <v>77.37339507442587</v>
      </c>
      <c r="H12" s="205">
        <f t="shared" si="3"/>
        <v>70.58539507442588</v>
      </c>
      <c r="I12" s="205">
        <f t="shared" si="0"/>
        <v>1320.3585427256357</v>
      </c>
      <c r="J12" s="205">
        <f t="shared" si="1"/>
        <v>1185.664</v>
      </c>
      <c r="K12" s="205">
        <f t="shared" si="4"/>
        <v>134.69454272563576</v>
      </c>
      <c r="N12" s="147">
        <v>77.3734</v>
      </c>
    </row>
    <row r="13" spans="1:14" ht="12.75">
      <c r="A13" s="202"/>
      <c r="B13" s="103" t="s">
        <v>14</v>
      </c>
      <c r="C13" s="180">
        <f aca="true" t="shared" si="5" ref="C13:J13">SUM(C5:C12)</f>
        <v>11126.11</v>
      </c>
      <c r="D13" s="180">
        <f>SUM(D5:D12)</f>
        <v>11645.755</v>
      </c>
      <c r="E13" s="180">
        <f t="shared" si="5"/>
        <v>519.6449999999985</v>
      </c>
      <c r="F13" s="180">
        <f t="shared" si="5"/>
        <v>4500</v>
      </c>
      <c r="G13" s="180">
        <f>SUM(G5:G12)+0.00001</f>
        <v>4710.6</v>
      </c>
      <c r="H13" s="180">
        <f t="shared" si="3"/>
        <v>210.60000000000036</v>
      </c>
      <c r="I13" s="180">
        <f t="shared" si="5"/>
        <v>16356.35499</v>
      </c>
      <c r="J13" s="180">
        <f t="shared" si="5"/>
        <v>15626.11</v>
      </c>
      <c r="K13" s="180">
        <f t="shared" si="4"/>
        <v>730.2449899999992</v>
      </c>
      <c r="N13" s="147">
        <f>SUM(N5:N12)</f>
        <v>4710.6</v>
      </c>
    </row>
    <row r="14" spans="2:11" ht="12.75">
      <c r="B14" s="207"/>
      <c r="C14" s="208"/>
      <c r="D14" s="174"/>
      <c r="E14" s="209"/>
      <c r="F14" s="209"/>
      <c r="G14" s="174"/>
      <c r="H14" s="174"/>
      <c r="I14" s="209"/>
      <c r="J14" s="209"/>
      <c r="K14" s="209"/>
    </row>
    <row r="15" spans="2:11" ht="12.75" hidden="1">
      <c r="B15" s="207"/>
      <c r="C15" s="208" t="s">
        <v>180</v>
      </c>
      <c r="D15" s="175">
        <v>11126.11</v>
      </c>
      <c r="E15" s="209"/>
      <c r="F15" s="209"/>
      <c r="G15" s="175">
        <v>4500</v>
      </c>
      <c r="H15" s="175"/>
      <c r="I15" s="209"/>
      <c r="J15" s="209"/>
      <c r="K15" s="209"/>
    </row>
    <row r="16" spans="2:9" ht="24.75" customHeight="1" hidden="1">
      <c r="B16" s="135"/>
      <c r="C16" s="135" t="s">
        <v>177</v>
      </c>
      <c r="D16" s="175">
        <f>11649-3.245</f>
        <v>11645.755</v>
      </c>
      <c r="E16" s="161"/>
      <c r="F16" s="161"/>
      <c r="G16" s="175">
        <f>4500*D17/100</f>
        <v>4710.172513124532</v>
      </c>
      <c r="H16" s="175"/>
      <c r="I16" s="135"/>
    </row>
    <row r="17" ht="12.75" hidden="1">
      <c r="D17" s="135">
        <f>+D16/D15*100</f>
        <v>104.67050029165628</v>
      </c>
    </row>
    <row r="18" spans="3:8" ht="12.75" hidden="1">
      <c r="C18" s="135" t="s">
        <v>179</v>
      </c>
      <c r="D18" s="175">
        <f>12111-3.245</f>
        <v>12107.755</v>
      </c>
      <c r="E18" s="161"/>
      <c r="F18" s="161"/>
      <c r="G18" s="175">
        <f>+G16*D19/100</f>
        <v>4897.030273833351</v>
      </c>
      <c r="H18" s="175"/>
    </row>
    <row r="19" ht="12.75" hidden="1">
      <c r="D19" s="135">
        <f>+D18/D13*100</f>
        <v>103.96711076267704</v>
      </c>
    </row>
    <row r="20" spans="3:8" ht="12.75" hidden="1">
      <c r="C20" s="135" t="s">
        <v>178</v>
      </c>
      <c r="D20" s="175">
        <f>9894.7-3.245</f>
        <v>9891.455</v>
      </c>
      <c r="E20" s="161"/>
      <c r="F20" s="161"/>
      <c r="G20" s="175">
        <f>+G18*D21/100</f>
        <v>4000.6388126667803</v>
      </c>
      <c r="H20" s="175"/>
    </row>
    <row r="21" ht="12.75" hidden="1">
      <c r="D21" s="135">
        <f>+D20/D18*100</f>
        <v>81.69520278532231</v>
      </c>
    </row>
  </sheetData>
  <sheetProtection/>
  <mergeCells count="6">
    <mergeCell ref="C3:E3"/>
    <mergeCell ref="F3:G3"/>
    <mergeCell ref="B3:B4"/>
    <mergeCell ref="A3:A4"/>
    <mergeCell ref="I3:J3"/>
    <mergeCell ref="A2:K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H16"/>
  <sheetViews>
    <sheetView zoomScalePageLayoutView="0" workbookViewId="0" topLeftCell="A1">
      <selection activeCell="N19" sqref="N19"/>
    </sheetView>
  </sheetViews>
  <sheetFormatPr defaultColWidth="9.00390625" defaultRowHeight="12.75"/>
  <cols>
    <col min="1" max="1" width="5.25390625" style="214" customWidth="1"/>
    <col min="2" max="2" width="31.875" style="214" customWidth="1"/>
    <col min="3" max="8" width="13.375" style="214" customWidth="1"/>
    <col min="9" max="16384" width="9.125" style="214" customWidth="1"/>
  </cols>
  <sheetData>
    <row r="1" spans="4:7" ht="15.75">
      <c r="D1" s="215"/>
      <c r="G1" s="215" t="s">
        <v>196</v>
      </c>
    </row>
    <row r="2" spans="1:8" ht="42.75" customHeight="1">
      <c r="A2" s="275" t="s">
        <v>197</v>
      </c>
      <c r="B2" s="275"/>
      <c r="C2" s="275"/>
      <c r="D2" s="275"/>
      <c r="E2" s="275"/>
      <c r="F2" s="275"/>
      <c r="G2" s="275"/>
      <c r="H2" s="275"/>
    </row>
    <row r="3" spans="1:8" ht="15.75">
      <c r="A3" s="216"/>
      <c r="B3" s="216"/>
      <c r="C3" s="217"/>
      <c r="D3" s="217"/>
      <c r="E3" s="217"/>
      <c r="F3" s="217"/>
      <c r="G3" s="217"/>
      <c r="H3" s="218" t="s">
        <v>206</v>
      </c>
    </row>
    <row r="4" spans="1:8" s="219" customFormat="1" ht="64.5" customHeight="1">
      <c r="A4" s="276" t="s">
        <v>205</v>
      </c>
      <c r="B4" s="276" t="s">
        <v>202</v>
      </c>
      <c r="C4" s="272" t="s">
        <v>203</v>
      </c>
      <c r="D4" s="273"/>
      <c r="E4" s="274"/>
      <c r="F4" s="272" t="s">
        <v>204</v>
      </c>
      <c r="G4" s="273"/>
      <c r="H4" s="274"/>
    </row>
    <row r="5" spans="1:8" s="219" customFormat="1" ht="21" customHeight="1">
      <c r="A5" s="277"/>
      <c r="B5" s="278"/>
      <c r="C5" s="220" t="s">
        <v>177</v>
      </c>
      <c r="D5" s="220" t="s">
        <v>179</v>
      </c>
      <c r="E5" s="220" t="s">
        <v>178</v>
      </c>
      <c r="F5" s="220" t="s">
        <v>177</v>
      </c>
      <c r="G5" s="220" t="s">
        <v>179</v>
      </c>
      <c r="H5" s="220" t="s">
        <v>178</v>
      </c>
    </row>
    <row r="6" spans="1:8" ht="15.75">
      <c r="A6" s="221">
        <v>1</v>
      </c>
      <c r="B6" s="222" t="s">
        <v>134</v>
      </c>
      <c r="C6" s="223">
        <f>+'субв от числ уточ'!D6</f>
        <v>2297.617835357543</v>
      </c>
      <c r="D6" s="223">
        <f>+'субв от числ уточ'!E6</f>
        <v>2388.7668797891993</v>
      </c>
      <c r="E6" s="223">
        <f>+'субв от числ уточ'!F6</f>
        <v>1951.5079465124027</v>
      </c>
      <c r="F6" s="223">
        <f>+РФФПП!G5</f>
        <v>325.8139051632982</v>
      </c>
      <c r="G6" s="224">
        <f>+F6</f>
        <v>325.8139051632982</v>
      </c>
      <c r="H6" s="224">
        <f>+F6</f>
        <v>325.8139051632982</v>
      </c>
    </row>
    <row r="7" spans="1:8" ht="15.75">
      <c r="A7" s="221">
        <v>2</v>
      </c>
      <c r="B7" s="222" t="s">
        <v>135</v>
      </c>
      <c r="C7" s="223">
        <f>+'субв от числ уточ'!D7</f>
        <v>2059.884580670563</v>
      </c>
      <c r="D7" s="223">
        <f>+'субв от числ уточ'!E7</f>
        <v>2141.6024835690705</v>
      </c>
      <c r="E7" s="223">
        <f>+'субв от числ уточ'!F7</f>
        <v>1749.586491807251</v>
      </c>
      <c r="F7" s="223">
        <f>+РФФПП!G6</f>
        <v>385.45357588779734</v>
      </c>
      <c r="G7" s="224">
        <f aca="true" t="shared" si="0" ref="G7:G13">+F7</f>
        <v>385.45357588779734</v>
      </c>
      <c r="H7" s="224">
        <f aca="true" t="shared" si="1" ref="H7:H13">+F7</f>
        <v>385.45357588779734</v>
      </c>
    </row>
    <row r="8" spans="1:8" ht="15.75">
      <c r="A8" s="221">
        <v>3</v>
      </c>
      <c r="B8" s="222" t="s">
        <v>136</v>
      </c>
      <c r="C8" s="223">
        <f>+'субв от числ уточ'!D8</f>
        <v>1473.311283126874</v>
      </c>
      <c r="D8" s="223">
        <f>+'субв от числ уточ'!E8</f>
        <v>1531.7591736075356</v>
      </c>
      <c r="E8" s="223">
        <f>+'субв от числ уточ'!F8</f>
        <v>1251.3737630614532</v>
      </c>
      <c r="F8" s="223">
        <f>+РФФПП!G7</f>
        <v>1150.8467180675152</v>
      </c>
      <c r="G8" s="224">
        <f t="shared" si="0"/>
        <v>1150.8467180675152</v>
      </c>
      <c r="H8" s="224">
        <f t="shared" si="1"/>
        <v>1150.8467180675152</v>
      </c>
    </row>
    <row r="9" spans="1:8" ht="15.75">
      <c r="A9" s="221">
        <v>4</v>
      </c>
      <c r="B9" s="222" t="s">
        <v>137</v>
      </c>
      <c r="C9" s="223">
        <f>+'субв от числ уточ'!D9</f>
        <v>588.6896173183511</v>
      </c>
      <c r="D9" s="223">
        <f>+'субв от числ уточ'!E9</f>
        <v>612.0435864857498</v>
      </c>
      <c r="E9" s="223">
        <f>+'субв от числ уточ'!F9</f>
        <v>500.01024911409274</v>
      </c>
      <c r="F9" s="223">
        <f>+РФФПП!G8</f>
        <v>969.607799364519</v>
      </c>
      <c r="G9" s="224">
        <f t="shared" si="0"/>
        <v>969.607799364519</v>
      </c>
      <c r="H9" s="224">
        <f t="shared" si="1"/>
        <v>969.607799364519</v>
      </c>
    </row>
    <row r="10" spans="1:8" ht="15.75">
      <c r="A10" s="221">
        <v>5</v>
      </c>
      <c r="B10" s="222" t="s">
        <v>138</v>
      </c>
      <c r="C10" s="223">
        <f>+'субв от числ уточ'!D10</f>
        <v>1475.0748829390918</v>
      </c>
      <c r="D10" s="223">
        <f>+'субв от числ уточ'!E10</f>
        <v>1533.5927373777145</v>
      </c>
      <c r="E10" s="223">
        <f>+'субв от числ уточ'!F10</f>
        <v>1252.8716967016992</v>
      </c>
      <c r="F10" s="223">
        <f>+РФФПП!G9</f>
        <v>742.2281679971053</v>
      </c>
      <c r="G10" s="224">
        <f t="shared" si="0"/>
        <v>742.2281679971053</v>
      </c>
      <c r="H10" s="224">
        <f t="shared" si="1"/>
        <v>742.2281679971053</v>
      </c>
    </row>
    <row r="11" spans="1:8" ht="15.75">
      <c r="A11" s="221">
        <v>6</v>
      </c>
      <c r="B11" s="222" t="s">
        <v>139</v>
      </c>
      <c r="C11" s="223">
        <f>+'субв от числ уточ'!D11</f>
        <v>1707.1646182269737</v>
      </c>
      <c r="D11" s="223">
        <f>+'субв от числ уточ'!E11</f>
        <v>1774.8897295332706</v>
      </c>
      <c r="E11" s="223">
        <f>+'субв от числ уточ'!F11</f>
        <v>1449.999763758064</v>
      </c>
      <c r="F11" s="223">
        <f>+РФФПП!G10</f>
        <v>308.7574635874456</v>
      </c>
      <c r="G11" s="224">
        <f t="shared" si="0"/>
        <v>308.7574635874456</v>
      </c>
      <c r="H11" s="224">
        <f t="shared" si="1"/>
        <v>308.7574635874456</v>
      </c>
    </row>
    <row r="12" spans="1:8" ht="31.5">
      <c r="A12" s="221">
        <v>7</v>
      </c>
      <c r="B12" s="222" t="s">
        <v>140</v>
      </c>
      <c r="C12" s="223">
        <f>+'субв от числ уточ'!D12</f>
        <v>801.0270347093921</v>
      </c>
      <c r="D12" s="223">
        <f>+'субв от числ уточ'!E12</f>
        <v>832.8046644153012</v>
      </c>
      <c r="E12" s="223">
        <f>+'субв от числ уточ'!F12</f>
        <v>680.3614593997032</v>
      </c>
      <c r="F12" s="223">
        <f>+РФФПП!G11</f>
        <v>750.5189648578933</v>
      </c>
      <c r="G12" s="224">
        <f t="shared" si="0"/>
        <v>750.5189648578933</v>
      </c>
      <c r="H12" s="224">
        <f t="shared" si="1"/>
        <v>750.5189648578933</v>
      </c>
    </row>
    <row r="13" spans="1:8" ht="15.75">
      <c r="A13" s="221">
        <v>8</v>
      </c>
      <c r="B13" s="222" t="s">
        <v>141</v>
      </c>
      <c r="C13" s="223">
        <f>+'субв от числ уточ'!D13</f>
        <v>1242.98514765121</v>
      </c>
      <c r="D13" s="223">
        <f>+'субв от числ уточ'!E13</f>
        <v>1292.2957452221583</v>
      </c>
      <c r="E13" s="223">
        <f>+'субв от числ уточ'!F13</f>
        <v>1055.7436296453343</v>
      </c>
      <c r="F13" s="223">
        <f>+РФФПП!G12</f>
        <v>77.37339507442587</v>
      </c>
      <c r="G13" s="224">
        <f t="shared" si="0"/>
        <v>77.37339507442587</v>
      </c>
      <c r="H13" s="224">
        <f t="shared" si="1"/>
        <v>77.37339507442587</v>
      </c>
    </row>
    <row r="14" spans="1:8" ht="15.75">
      <c r="A14" s="221"/>
      <c r="B14" s="225" t="s">
        <v>14</v>
      </c>
      <c r="C14" s="226">
        <f>SUM(C6:C13)</f>
        <v>11645.755</v>
      </c>
      <c r="D14" s="226">
        <f>SUM(D6:D13)</f>
        <v>12107.755</v>
      </c>
      <c r="E14" s="226">
        <f>SUM(E6:E13)</f>
        <v>9891.455</v>
      </c>
      <c r="F14" s="226">
        <f>SUM(F6:F13)+0.00001</f>
        <v>4710.6</v>
      </c>
      <c r="G14" s="226">
        <f>SUM(G6:G13)+0.00001</f>
        <v>4710.6</v>
      </c>
      <c r="H14" s="226">
        <f>SUM(H6:H13)+0.00001</f>
        <v>4710.6</v>
      </c>
    </row>
    <row r="15" spans="2:8" ht="15.75">
      <c r="B15" s="227"/>
      <c r="C15" s="228"/>
      <c r="D15" s="227"/>
      <c r="E15" s="229"/>
      <c r="F15" s="228"/>
      <c r="G15" s="227"/>
      <c r="H15" s="229"/>
    </row>
    <row r="16" spans="2:8" ht="24.75" customHeight="1">
      <c r="B16" s="227"/>
      <c r="C16" s="227"/>
      <c r="D16" s="227"/>
      <c r="E16" s="227"/>
      <c r="F16" s="227"/>
      <c r="G16" s="227"/>
      <c r="H16" s="227"/>
    </row>
  </sheetData>
  <sheetProtection/>
  <mergeCells count="5">
    <mergeCell ref="C4:E4"/>
    <mergeCell ref="F4:H4"/>
    <mergeCell ref="A2:H2"/>
    <mergeCell ref="A4:A5"/>
    <mergeCell ref="B4:B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F16"/>
  <sheetViews>
    <sheetView zoomScalePageLayoutView="0" workbookViewId="0" topLeftCell="A1">
      <selection activeCell="A2" sqref="A2:D2"/>
    </sheetView>
  </sheetViews>
  <sheetFormatPr defaultColWidth="9.00390625" defaultRowHeight="12.75"/>
  <cols>
    <col min="1" max="1" width="5.375" style="0" customWidth="1"/>
    <col min="2" max="2" width="35.875" style="0" customWidth="1"/>
    <col min="3" max="3" width="16.125" style="0" customWidth="1"/>
    <col min="4" max="4" width="25.25390625" style="0" customWidth="1"/>
    <col min="5" max="5" width="14.375" style="0" customWidth="1"/>
    <col min="6" max="6" width="13.25390625" style="0" customWidth="1"/>
  </cols>
  <sheetData>
    <row r="1" ht="12.75">
      <c r="D1" t="s">
        <v>183</v>
      </c>
    </row>
    <row r="2" spans="1:4" ht="52.5" customHeight="1">
      <c r="A2" s="238" t="s">
        <v>143</v>
      </c>
      <c r="B2" s="238"/>
      <c r="C2" s="238"/>
      <c r="D2" s="238"/>
    </row>
    <row r="4" spans="1:6" ht="38.25">
      <c r="A4" s="2" t="s">
        <v>0</v>
      </c>
      <c r="B4" s="2" t="s">
        <v>1</v>
      </c>
      <c r="C4" s="2" t="s">
        <v>12</v>
      </c>
      <c r="D4" s="2" t="s">
        <v>61</v>
      </c>
      <c r="E4" s="1"/>
      <c r="F4" s="1"/>
    </row>
    <row r="5" spans="1:4" ht="12.75">
      <c r="A5" s="3">
        <v>1</v>
      </c>
      <c r="B5" s="87" t="s">
        <v>134</v>
      </c>
      <c r="C5" s="88">
        <v>6514</v>
      </c>
      <c r="D5" s="6">
        <f>(0.6*C5+0.4*C14)/C5</f>
        <v>0.8534310715382254</v>
      </c>
    </row>
    <row r="6" spans="1:4" ht="12.75">
      <c r="A6" s="3">
        <v>2</v>
      </c>
      <c r="B6" s="87" t="s">
        <v>135</v>
      </c>
      <c r="C6" s="88">
        <v>5840</v>
      </c>
      <c r="D6" s="6">
        <f>(0.6*C6+0.4*C14)/C6</f>
        <v>0.882679794520548</v>
      </c>
    </row>
    <row r="7" spans="1:4" ht="12.75">
      <c r="A7" s="3">
        <v>3</v>
      </c>
      <c r="B7" s="87" t="s">
        <v>136</v>
      </c>
      <c r="C7" s="88">
        <v>4177</v>
      </c>
      <c r="D7" s="6">
        <f>(0.6*C7+0.4*C14)/C7</f>
        <v>0.9952238448647355</v>
      </c>
    </row>
    <row r="8" spans="1:4" ht="12.75">
      <c r="A8" s="3">
        <v>4</v>
      </c>
      <c r="B8" s="87" t="s">
        <v>137</v>
      </c>
      <c r="C8" s="88">
        <v>1669</v>
      </c>
      <c r="D8" s="6">
        <f>(0.6*C8+0.4*C14)/C8</f>
        <v>1.5891252246854404</v>
      </c>
    </row>
    <row r="9" spans="1:4" ht="12.75">
      <c r="A9" s="3">
        <v>5</v>
      </c>
      <c r="B9" s="87" t="s">
        <v>138</v>
      </c>
      <c r="C9" s="88">
        <v>4182</v>
      </c>
      <c r="D9" s="6">
        <f>(0.6*C9+0.4*C14)/C9</f>
        <v>0.9947513151602104</v>
      </c>
    </row>
    <row r="10" spans="1:4" ht="12.75">
      <c r="A10" s="3">
        <v>6</v>
      </c>
      <c r="B10" s="87" t="s">
        <v>139</v>
      </c>
      <c r="C10" s="88">
        <v>4840</v>
      </c>
      <c r="D10" s="6">
        <f>(0.6*C10+0.4*C14)/C10</f>
        <v>0.9410847107438017</v>
      </c>
    </row>
    <row r="11" spans="1:4" ht="12.75">
      <c r="A11" s="3">
        <v>7</v>
      </c>
      <c r="B11" s="87" t="s">
        <v>140</v>
      </c>
      <c r="C11" s="88">
        <v>2271</v>
      </c>
      <c r="D11" s="6">
        <f>(0.6*C11+0.4*C14)/C11</f>
        <v>1.3269264641127256</v>
      </c>
    </row>
    <row r="12" spans="1:4" ht="12.75">
      <c r="A12" s="3">
        <v>8</v>
      </c>
      <c r="B12" s="87" t="s">
        <v>141</v>
      </c>
      <c r="C12" s="88">
        <v>3524</v>
      </c>
      <c r="D12" s="6">
        <f>(0.6*C12+0.4*C14)/C12</f>
        <v>1.0684591373439274</v>
      </c>
    </row>
    <row r="13" spans="1:4" ht="12.75">
      <c r="A13" s="3"/>
      <c r="B13" s="9" t="s">
        <v>63</v>
      </c>
      <c r="C13" s="19">
        <f>SUM(C5:C12)</f>
        <v>33017</v>
      </c>
      <c r="D13" s="17">
        <f>(0.6*C13+0.4*C14)/C13</f>
        <v>0.65</v>
      </c>
    </row>
    <row r="14" spans="1:4" ht="12.75">
      <c r="A14" s="3"/>
      <c r="B14" s="9" t="s">
        <v>2</v>
      </c>
      <c r="C14" s="7">
        <f>C13/8</f>
        <v>4127.125</v>
      </c>
      <c r="D14" s="3"/>
    </row>
    <row r="15" ht="12.75">
      <c r="B15" s="1"/>
    </row>
    <row r="16" ht="20.25" customHeight="1">
      <c r="B16" s="1"/>
    </row>
  </sheetData>
  <sheetProtection/>
  <mergeCells count="1">
    <mergeCell ref="A2:D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D92"/>
  <sheetViews>
    <sheetView view="pageBreakPreview" zoomScaleSheetLayoutView="100" zoomScalePageLayoutView="0" workbookViewId="0" topLeftCell="A1">
      <selection activeCell="M91" sqref="M91"/>
    </sheetView>
  </sheetViews>
  <sheetFormatPr defaultColWidth="9.00390625" defaultRowHeight="12.75"/>
  <cols>
    <col min="1" max="1" width="6.25390625" style="0" customWidth="1"/>
    <col min="2" max="2" width="35.25390625" style="0" customWidth="1"/>
    <col min="3" max="3" width="18.00390625" style="0" customWidth="1"/>
    <col min="4" max="4" width="16.00390625" style="0" customWidth="1"/>
  </cols>
  <sheetData>
    <row r="1" ht="12.75">
      <c r="D1" t="s">
        <v>184</v>
      </c>
    </row>
    <row r="3" spans="1:4" ht="79.5" customHeight="1">
      <c r="A3" s="239" t="s">
        <v>142</v>
      </c>
      <c r="B3" s="239"/>
      <c r="C3" s="239"/>
      <c r="D3" s="239"/>
    </row>
    <row r="4" spans="1:4" ht="38.25">
      <c r="A4" s="7" t="s">
        <v>16</v>
      </c>
      <c r="B4" s="7" t="s">
        <v>15</v>
      </c>
      <c r="C4" s="9" t="s">
        <v>132</v>
      </c>
      <c r="D4" s="9" t="s">
        <v>60</v>
      </c>
    </row>
    <row r="5" spans="1:4" ht="12.75">
      <c r="A5" s="7">
        <v>1</v>
      </c>
      <c r="B5" s="87" t="s">
        <v>134</v>
      </c>
      <c r="C5" s="88">
        <v>6514</v>
      </c>
      <c r="D5" s="68">
        <f>(D6/C5)+1</f>
        <v>1.0756831439975438</v>
      </c>
    </row>
    <row r="6" spans="1:4" ht="12.75">
      <c r="A6" s="7"/>
      <c r="B6" s="87"/>
      <c r="C6" s="88"/>
      <c r="D6" s="88">
        <v>493</v>
      </c>
    </row>
    <row r="7" spans="1:4" ht="12.75">
      <c r="A7" s="7">
        <v>2</v>
      </c>
      <c r="B7" s="87" t="s">
        <v>135</v>
      </c>
      <c r="C7" s="88">
        <v>5840</v>
      </c>
      <c r="D7" s="68">
        <f>(D8/C7)+1</f>
        <v>1.0414383561643836</v>
      </c>
    </row>
    <row r="8" spans="1:4" ht="12.75">
      <c r="A8" s="7"/>
      <c r="B8" s="87"/>
      <c r="C8" s="88"/>
      <c r="D8" s="88">
        <v>242</v>
      </c>
    </row>
    <row r="9" spans="1:4" ht="12.75">
      <c r="A9" s="7">
        <v>3</v>
      </c>
      <c r="B9" s="87" t="s">
        <v>136</v>
      </c>
      <c r="C9" s="88">
        <v>4177</v>
      </c>
      <c r="D9" s="68">
        <f>(D10/C9)+1</f>
        <v>1.3785013167344984</v>
      </c>
    </row>
    <row r="10" spans="1:4" ht="12.75">
      <c r="A10" s="7"/>
      <c r="B10" s="87"/>
      <c r="C10" s="88"/>
      <c r="D10" s="88">
        <v>1581</v>
      </c>
    </row>
    <row r="11" spans="1:4" ht="12.75">
      <c r="A11" s="7">
        <v>4</v>
      </c>
      <c r="B11" s="87" t="s">
        <v>137</v>
      </c>
      <c r="C11" s="88">
        <v>1669</v>
      </c>
      <c r="D11" s="68">
        <f>(D12/C11)+1</f>
        <v>1.5248651887357698</v>
      </c>
    </row>
    <row r="12" spans="1:4" ht="12.75">
      <c r="A12" s="7"/>
      <c r="B12" s="87"/>
      <c r="C12" s="88"/>
      <c r="D12" s="88">
        <v>876</v>
      </c>
    </row>
    <row r="13" spans="1:4" ht="12.75">
      <c r="A13" s="7">
        <v>5</v>
      </c>
      <c r="B13" s="87" t="s">
        <v>138</v>
      </c>
      <c r="C13" s="88">
        <v>4182</v>
      </c>
      <c r="D13" s="68">
        <f>(D14/C13)+1</f>
        <v>1.1410808225729316</v>
      </c>
    </row>
    <row r="14" spans="1:4" ht="12.75">
      <c r="A14" s="7"/>
      <c r="B14" s="87"/>
      <c r="C14" s="88"/>
      <c r="D14" s="88">
        <v>590</v>
      </c>
    </row>
    <row r="15" spans="1:4" ht="12.75">
      <c r="A15" s="7">
        <v>6</v>
      </c>
      <c r="B15" s="87" t="s">
        <v>139</v>
      </c>
      <c r="C15" s="88">
        <v>4840</v>
      </c>
      <c r="D15" s="68">
        <f>(D16/C15)+1</f>
        <v>1.3508264462809918</v>
      </c>
    </row>
    <row r="16" spans="1:4" ht="12.75">
      <c r="A16" s="7"/>
      <c r="B16" s="87"/>
      <c r="C16" s="88"/>
      <c r="D16" s="88">
        <v>1698</v>
      </c>
    </row>
    <row r="17" spans="1:4" ht="12.75">
      <c r="A17" s="7">
        <v>7</v>
      </c>
      <c r="B17" s="87" t="s">
        <v>140</v>
      </c>
      <c r="C17" s="88">
        <v>2271</v>
      </c>
      <c r="D17" s="68">
        <f>(D18/C17)+1</f>
        <v>1.0748568912373404</v>
      </c>
    </row>
    <row r="18" spans="1:4" ht="12.75">
      <c r="A18" s="7"/>
      <c r="B18" s="87"/>
      <c r="C18" s="88"/>
      <c r="D18" s="88">
        <v>170</v>
      </c>
    </row>
    <row r="19" spans="1:4" ht="12.75">
      <c r="A19" s="7">
        <v>8</v>
      </c>
      <c r="B19" s="87" t="s">
        <v>141</v>
      </c>
      <c r="C19" s="88">
        <v>3524</v>
      </c>
      <c r="D19" s="68">
        <f>(D20/C19)+1</f>
        <v>1.17366628830874</v>
      </c>
    </row>
    <row r="20" spans="1:4" ht="12.75">
      <c r="A20" s="7"/>
      <c r="B20" s="7"/>
      <c r="C20" s="9"/>
      <c r="D20" s="88">
        <v>612</v>
      </c>
    </row>
    <row r="21" spans="1:4" ht="12.75" hidden="1">
      <c r="A21" s="7"/>
      <c r="B21" s="7"/>
      <c r="C21" s="9"/>
      <c r="D21" s="9"/>
    </row>
    <row r="22" spans="1:4" ht="12.75" hidden="1">
      <c r="A22" s="7"/>
      <c r="B22" s="7"/>
      <c r="C22" s="9"/>
      <c r="D22" s="9"/>
    </row>
    <row r="23" spans="1:4" ht="12.75" hidden="1">
      <c r="A23" s="7"/>
      <c r="B23" s="7"/>
      <c r="C23" s="9"/>
      <c r="D23" s="9"/>
    </row>
    <row r="24" spans="1:4" ht="12.75" hidden="1">
      <c r="A24" s="7"/>
      <c r="B24" s="7"/>
      <c r="C24" s="9"/>
      <c r="D24" s="9"/>
    </row>
    <row r="25" spans="1:4" ht="12.75" hidden="1">
      <c r="A25" s="7"/>
      <c r="B25" s="7"/>
      <c r="C25" s="9"/>
      <c r="D25" s="9"/>
    </row>
    <row r="26" spans="1:4" ht="12.75" hidden="1">
      <c r="A26" s="7"/>
      <c r="B26" s="7"/>
      <c r="C26" s="9"/>
      <c r="D26" s="9"/>
    </row>
    <row r="27" spans="1:4" ht="12.75" hidden="1">
      <c r="A27" s="7"/>
      <c r="B27" s="7"/>
      <c r="C27" s="9"/>
      <c r="D27" s="9"/>
    </row>
    <row r="28" spans="1:4" ht="12.75" hidden="1">
      <c r="A28" s="7"/>
      <c r="B28" s="7"/>
      <c r="C28" s="9"/>
      <c r="D28" s="9"/>
    </row>
    <row r="29" spans="1:4" ht="12.75" hidden="1">
      <c r="A29" s="7"/>
      <c r="B29" s="7"/>
      <c r="C29" s="9"/>
      <c r="D29" s="9"/>
    </row>
    <row r="30" spans="1:4" ht="12.75" hidden="1">
      <c r="A30" s="7"/>
      <c r="B30" s="7"/>
      <c r="C30" s="9"/>
      <c r="D30" s="9"/>
    </row>
    <row r="31" spans="1:4" ht="12.75" hidden="1">
      <c r="A31" s="7"/>
      <c r="B31" s="7"/>
      <c r="C31" s="9"/>
      <c r="D31" s="9"/>
    </row>
    <row r="32" spans="1:4" ht="12.75" hidden="1">
      <c r="A32" s="7"/>
      <c r="B32" s="7"/>
      <c r="C32" s="9"/>
      <c r="D32" s="9"/>
    </row>
    <row r="33" spans="1:4" ht="12.75" hidden="1">
      <c r="A33" s="7"/>
      <c r="B33" s="7"/>
      <c r="C33" s="9"/>
      <c r="D33" s="9"/>
    </row>
    <row r="34" spans="1:4" ht="12.75" hidden="1">
      <c r="A34" s="7"/>
      <c r="B34" s="7"/>
      <c r="C34" s="9"/>
      <c r="D34" s="9"/>
    </row>
    <row r="35" spans="1:4" ht="12.75" hidden="1">
      <c r="A35" s="7"/>
      <c r="B35" s="7"/>
      <c r="C35" s="9"/>
      <c r="D35" s="9"/>
    </row>
    <row r="36" spans="1:4" ht="12.75" hidden="1">
      <c r="A36" s="7"/>
      <c r="B36" s="7"/>
      <c r="C36" s="9"/>
      <c r="D36" s="9"/>
    </row>
    <row r="37" spans="1:4" ht="12.75" hidden="1">
      <c r="A37" s="7">
        <v>1</v>
      </c>
      <c r="B37" s="7" t="s">
        <v>3</v>
      </c>
      <c r="C37" s="7">
        <f>C38+C39+C40</f>
        <v>12741</v>
      </c>
      <c r="D37" s="13">
        <f>(D38/C37)+1</f>
        <v>1.0166391962954242</v>
      </c>
    </row>
    <row r="38" spans="1:4" ht="12.75" hidden="1">
      <c r="A38" s="3"/>
      <c r="B38" s="10" t="s">
        <v>23</v>
      </c>
      <c r="C38" s="3">
        <v>11492</v>
      </c>
      <c r="D38" s="3">
        <f>C40</f>
        <v>212</v>
      </c>
    </row>
    <row r="39" spans="1:4" ht="12.75" hidden="1">
      <c r="A39" s="3"/>
      <c r="B39" s="3" t="s">
        <v>17</v>
      </c>
      <c r="C39" s="3">
        <v>1037</v>
      </c>
      <c r="D39" s="3"/>
    </row>
    <row r="40" spans="1:4" ht="12.75" hidden="1">
      <c r="A40" s="3"/>
      <c r="B40" s="3" t="s">
        <v>62</v>
      </c>
      <c r="C40" s="3">
        <v>212</v>
      </c>
      <c r="D40" s="3"/>
    </row>
    <row r="41" spans="1:4" ht="12.75" hidden="1">
      <c r="A41" s="7">
        <v>2</v>
      </c>
      <c r="B41" s="7" t="s">
        <v>4</v>
      </c>
      <c r="C41" s="7">
        <f>C42+C43+C44</f>
        <v>7900</v>
      </c>
      <c r="D41" s="7">
        <v>1</v>
      </c>
    </row>
    <row r="42" spans="1:4" ht="12.75" hidden="1">
      <c r="A42" s="3"/>
      <c r="B42" s="10" t="s">
        <v>25</v>
      </c>
      <c r="C42" s="3">
        <v>6161</v>
      </c>
      <c r="D42" s="3"/>
    </row>
    <row r="43" spans="1:4" ht="12.75" hidden="1">
      <c r="A43" s="3"/>
      <c r="B43" s="3" t="s">
        <v>18</v>
      </c>
      <c r="C43" s="3">
        <v>1170</v>
      </c>
      <c r="D43" s="3"/>
    </row>
    <row r="44" spans="1:4" ht="12.75" hidden="1">
      <c r="A44" s="3"/>
      <c r="B44" s="3" t="s">
        <v>19</v>
      </c>
      <c r="C44" s="3">
        <v>569</v>
      </c>
      <c r="D44" s="3"/>
    </row>
    <row r="45" spans="1:4" ht="12.75" hidden="1">
      <c r="A45" s="7">
        <v>3</v>
      </c>
      <c r="B45" s="7" t="s">
        <v>5</v>
      </c>
      <c r="C45" s="7">
        <f>C46+C47+C48+C49+C50+C51+C52+C53+C54</f>
        <v>1747</v>
      </c>
      <c r="D45" s="13">
        <f>(D46/C45)+1</f>
        <v>2</v>
      </c>
    </row>
    <row r="46" spans="1:4" ht="12.75" hidden="1">
      <c r="A46" s="3"/>
      <c r="B46" s="3" t="s">
        <v>20</v>
      </c>
      <c r="C46" s="3">
        <v>338</v>
      </c>
      <c r="D46" s="3">
        <f>C46+C47+C48+C49+C50+C52+C53+C54+C51</f>
        <v>1747</v>
      </c>
    </row>
    <row r="47" spans="1:4" ht="12.75" hidden="1">
      <c r="A47" s="3"/>
      <c r="B47" s="3" t="s">
        <v>21</v>
      </c>
      <c r="C47" s="3">
        <v>32</v>
      </c>
      <c r="D47" s="3"/>
    </row>
    <row r="48" spans="1:4" ht="12.75" hidden="1">
      <c r="A48" s="3"/>
      <c r="B48" s="3" t="s">
        <v>22</v>
      </c>
      <c r="C48" s="3">
        <v>43</v>
      </c>
      <c r="D48" s="3"/>
    </row>
    <row r="49" spans="1:4" ht="12.75" hidden="1">
      <c r="A49" s="3"/>
      <c r="B49" s="10" t="s">
        <v>24</v>
      </c>
      <c r="C49" s="3">
        <v>374</v>
      </c>
      <c r="D49" s="3"/>
    </row>
    <row r="50" spans="1:4" ht="12.75" hidden="1">
      <c r="A50" s="3"/>
      <c r="B50" s="3" t="s">
        <v>26</v>
      </c>
      <c r="C50" s="3">
        <v>324</v>
      </c>
      <c r="D50" s="3"/>
    </row>
    <row r="51" spans="1:4" ht="12.75" hidden="1">
      <c r="A51" s="3"/>
      <c r="B51" s="3" t="s">
        <v>27</v>
      </c>
      <c r="C51" s="3">
        <v>504</v>
      </c>
      <c r="D51" s="3"/>
    </row>
    <row r="52" spans="1:4" ht="12.75" hidden="1">
      <c r="A52" s="3"/>
      <c r="B52" s="3" t="s">
        <v>28</v>
      </c>
      <c r="C52" s="3">
        <v>112</v>
      </c>
      <c r="D52" s="3"/>
    </row>
    <row r="53" spans="1:4" ht="12.75" hidden="1">
      <c r="A53" s="3"/>
      <c r="B53" s="3" t="s">
        <v>29</v>
      </c>
      <c r="C53" s="3">
        <v>18</v>
      </c>
      <c r="D53" s="3"/>
    </row>
    <row r="54" spans="1:4" ht="12.75" hidden="1">
      <c r="A54" s="3"/>
      <c r="B54" s="3" t="s">
        <v>30</v>
      </c>
      <c r="C54" s="3">
        <v>2</v>
      </c>
      <c r="D54" s="3"/>
    </row>
    <row r="55" spans="1:4" ht="12.75" hidden="1">
      <c r="A55" s="7">
        <v>4</v>
      </c>
      <c r="B55" s="7" t="s">
        <v>6</v>
      </c>
      <c r="C55" s="7">
        <f>C56+C57+C58+C59+C60+C61</f>
        <v>1456</v>
      </c>
      <c r="D55" s="13">
        <f>(D56/C55)+1</f>
        <v>1.6146978021978022</v>
      </c>
    </row>
    <row r="56" spans="1:4" ht="12.75" hidden="1">
      <c r="A56" s="3"/>
      <c r="B56" s="10" t="s">
        <v>31</v>
      </c>
      <c r="C56" s="3">
        <v>561</v>
      </c>
      <c r="D56" s="3">
        <f>C57+C58+C59+C60+C61</f>
        <v>895</v>
      </c>
    </row>
    <row r="57" spans="1:4" ht="12.75" hidden="1">
      <c r="A57" s="3"/>
      <c r="B57" s="3" t="s">
        <v>32</v>
      </c>
      <c r="C57" s="3">
        <v>394</v>
      </c>
      <c r="D57" s="3"/>
    </row>
    <row r="58" spans="1:4" ht="12.75" hidden="1">
      <c r="A58" s="3"/>
      <c r="B58" s="3" t="s">
        <v>33</v>
      </c>
      <c r="C58" s="3">
        <v>40</v>
      </c>
      <c r="D58" s="3"/>
    </row>
    <row r="59" spans="1:4" ht="12.75" hidden="1">
      <c r="A59" s="3"/>
      <c r="B59" s="3" t="s">
        <v>34</v>
      </c>
      <c r="C59" s="3">
        <v>368</v>
      </c>
      <c r="D59" s="3"/>
    </row>
    <row r="60" spans="1:4" ht="12.75" hidden="1">
      <c r="A60" s="3"/>
      <c r="B60" s="3" t="s">
        <v>35</v>
      </c>
      <c r="C60" s="3">
        <v>93</v>
      </c>
      <c r="D60" s="3"/>
    </row>
    <row r="61" spans="1:4" ht="12.75" hidden="1">
      <c r="A61" s="3"/>
      <c r="B61" s="3" t="s">
        <v>36</v>
      </c>
      <c r="C61" s="3">
        <v>0</v>
      </c>
      <c r="D61" s="3"/>
    </row>
    <row r="62" spans="1:4" ht="12.75" hidden="1">
      <c r="A62" s="7">
        <v>5</v>
      </c>
      <c r="B62" s="7" t="s">
        <v>7</v>
      </c>
      <c r="C62" s="7">
        <f>C63+C64+C65+C66</f>
        <v>2260</v>
      </c>
      <c r="D62" s="13">
        <f>(D63/C62)+1</f>
        <v>1.311061946902655</v>
      </c>
    </row>
    <row r="63" spans="1:4" ht="12.75" hidden="1">
      <c r="A63" s="3"/>
      <c r="B63" s="10" t="s">
        <v>37</v>
      </c>
      <c r="C63" s="3">
        <v>1557</v>
      </c>
      <c r="D63" s="3">
        <f>C64+C65+C66</f>
        <v>703</v>
      </c>
    </row>
    <row r="64" spans="1:4" ht="12.75" hidden="1">
      <c r="A64" s="3"/>
      <c r="B64" s="3" t="s">
        <v>38</v>
      </c>
      <c r="C64" s="3">
        <v>30</v>
      </c>
      <c r="D64" s="3"/>
    </row>
    <row r="65" spans="1:4" ht="12.75" hidden="1">
      <c r="A65" s="3"/>
      <c r="B65" s="3" t="s">
        <v>39</v>
      </c>
      <c r="C65" s="3">
        <v>302</v>
      </c>
      <c r="D65" s="3"/>
    </row>
    <row r="66" spans="1:4" ht="12.75" hidden="1">
      <c r="A66" s="3"/>
      <c r="B66" s="3" t="s">
        <v>58</v>
      </c>
      <c r="C66" s="3">
        <v>371</v>
      </c>
      <c r="D66" s="3"/>
    </row>
    <row r="67" spans="1:4" ht="12.75" hidden="1">
      <c r="A67" s="7">
        <v>6</v>
      </c>
      <c r="B67" s="7" t="s">
        <v>8</v>
      </c>
      <c r="C67" s="7">
        <f>C68+C69+C70+C71</f>
        <v>2500</v>
      </c>
      <c r="D67" s="13">
        <f>D68/C67+1</f>
        <v>1.032</v>
      </c>
    </row>
    <row r="68" spans="1:4" ht="12.75" hidden="1">
      <c r="A68" s="3"/>
      <c r="B68" s="3" t="s">
        <v>40</v>
      </c>
      <c r="C68" s="3">
        <v>771</v>
      </c>
      <c r="D68" s="3">
        <f>C71</f>
        <v>80</v>
      </c>
    </row>
    <row r="69" spans="1:4" ht="12.75" hidden="1">
      <c r="A69" s="3"/>
      <c r="B69" s="10" t="s">
        <v>41</v>
      </c>
      <c r="C69" s="3">
        <v>827</v>
      </c>
      <c r="D69" s="3"/>
    </row>
    <row r="70" spans="1:4" ht="12.75" hidden="1">
      <c r="A70" s="3"/>
      <c r="B70" s="3" t="s">
        <v>42</v>
      </c>
      <c r="C70" s="3">
        <v>822</v>
      </c>
      <c r="D70" s="3"/>
    </row>
    <row r="71" spans="1:4" ht="12.75" hidden="1">
      <c r="A71" s="3"/>
      <c r="B71" s="3" t="s">
        <v>43</v>
      </c>
      <c r="C71" s="3">
        <v>80</v>
      </c>
      <c r="D71" s="3"/>
    </row>
    <row r="72" spans="1:4" ht="12.75" hidden="1">
      <c r="A72" s="7">
        <v>7</v>
      </c>
      <c r="B72" s="7" t="s">
        <v>9</v>
      </c>
      <c r="C72" s="7">
        <f>C73+C74+C75+C76+C77+C78+C79</f>
        <v>3262</v>
      </c>
      <c r="D72" s="13">
        <f>D73/C72+1</f>
        <v>1.3767627222562844</v>
      </c>
    </row>
    <row r="73" spans="1:4" ht="12.75" hidden="1">
      <c r="A73" s="3"/>
      <c r="B73" s="3" t="s">
        <v>44</v>
      </c>
      <c r="C73" s="3">
        <v>595</v>
      </c>
      <c r="D73" s="3">
        <f>C74+C75+C79+C76</f>
        <v>1229</v>
      </c>
    </row>
    <row r="74" spans="1:4" ht="12.75" hidden="1">
      <c r="A74" s="3"/>
      <c r="B74" s="3" t="s">
        <v>45</v>
      </c>
      <c r="C74" s="3">
        <v>134</v>
      </c>
      <c r="D74" s="3"/>
    </row>
    <row r="75" spans="1:4" ht="12.75" hidden="1">
      <c r="A75" s="3"/>
      <c r="B75" s="3" t="s">
        <v>46</v>
      </c>
      <c r="C75" s="3">
        <v>166</v>
      </c>
      <c r="D75" s="3"/>
    </row>
    <row r="76" spans="1:4" ht="12.75" hidden="1">
      <c r="A76" s="3"/>
      <c r="B76" s="3" t="s">
        <v>47</v>
      </c>
      <c r="C76" s="3">
        <v>481</v>
      </c>
      <c r="D76" s="3"/>
    </row>
    <row r="77" spans="1:4" ht="12.75" hidden="1">
      <c r="A77" s="3"/>
      <c r="B77" s="3" t="s">
        <v>48</v>
      </c>
      <c r="C77" s="3">
        <v>799</v>
      </c>
      <c r="D77" s="3"/>
    </row>
    <row r="78" spans="1:4" ht="12.75" hidden="1">
      <c r="A78" s="3"/>
      <c r="B78" s="11" t="s">
        <v>49</v>
      </c>
      <c r="C78" s="4">
        <v>639</v>
      </c>
      <c r="D78" s="3"/>
    </row>
    <row r="79" spans="1:4" ht="12.75" hidden="1">
      <c r="A79" s="3"/>
      <c r="B79" s="4" t="s">
        <v>50</v>
      </c>
      <c r="C79" s="4">
        <v>448</v>
      </c>
      <c r="D79" s="3"/>
    </row>
    <row r="80" spans="1:4" ht="25.5" hidden="1">
      <c r="A80" s="7">
        <v>8</v>
      </c>
      <c r="B80" s="9" t="s">
        <v>51</v>
      </c>
      <c r="C80" s="7">
        <f>C81+C82</f>
        <v>2516</v>
      </c>
      <c r="D80" s="13">
        <f>(D81/C80)+1</f>
        <v>1.0349761526232115</v>
      </c>
    </row>
    <row r="81" spans="1:4" ht="12.75" hidden="1">
      <c r="A81" s="3"/>
      <c r="B81" s="18" t="s">
        <v>52</v>
      </c>
      <c r="C81" s="3">
        <v>2428</v>
      </c>
      <c r="D81" s="3">
        <f>C82</f>
        <v>88</v>
      </c>
    </row>
    <row r="82" spans="1:4" ht="12.75" hidden="1">
      <c r="A82" s="3"/>
      <c r="B82" s="2" t="s">
        <v>64</v>
      </c>
      <c r="C82" s="3">
        <v>88</v>
      </c>
      <c r="D82" s="3"/>
    </row>
    <row r="83" spans="1:4" ht="12.75" hidden="1">
      <c r="A83" s="7">
        <v>9</v>
      </c>
      <c r="B83" s="9" t="s">
        <v>10</v>
      </c>
      <c r="C83" s="7">
        <f>C84+C85</f>
        <v>2744</v>
      </c>
      <c r="D83" s="7">
        <v>1</v>
      </c>
    </row>
    <row r="84" spans="1:4" ht="12.75" hidden="1">
      <c r="A84" s="3"/>
      <c r="B84" s="18" t="s">
        <v>53</v>
      </c>
      <c r="C84" s="3">
        <v>1718</v>
      </c>
      <c r="D84" s="3"/>
    </row>
    <row r="85" spans="1:4" ht="12.75" hidden="1">
      <c r="A85" s="3"/>
      <c r="B85" s="2" t="s">
        <v>54</v>
      </c>
      <c r="C85" s="3">
        <v>1026</v>
      </c>
      <c r="D85" s="3"/>
    </row>
    <row r="86" spans="1:4" ht="12.75" hidden="1">
      <c r="A86" s="7">
        <v>10</v>
      </c>
      <c r="B86" s="9" t="s">
        <v>11</v>
      </c>
      <c r="C86" s="7">
        <f>C87+C88+C89</f>
        <v>4678</v>
      </c>
      <c r="D86" s="13">
        <f>(D87/C86)+1</f>
        <v>1.0386917486105174</v>
      </c>
    </row>
    <row r="87" spans="1:4" ht="12.75" hidden="1">
      <c r="A87" s="3"/>
      <c r="B87" s="18" t="s">
        <v>55</v>
      </c>
      <c r="C87" s="3">
        <v>2958</v>
      </c>
      <c r="D87" s="3">
        <f>C89</f>
        <v>181</v>
      </c>
    </row>
    <row r="88" spans="1:4" ht="12.75" hidden="1">
      <c r="A88" s="3"/>
      <c r="B88" s="2" t="s">
        <v>56</v>
      </c>
      <c r="C88" s="3">
        <v>1539</v>
      </c>
      <c r="D88" s="3"/>
    </row>
    <row r="89" spans="1:4" ht="12.75" hidden="1">
      <c r="A89" s="3"/>
      <c r="B89" s="2" t="s">
        <v>57</v>
      </c>
      <c r="C89" s="3">
        <v>181</v>
      </c>
      <c r="D89" s="3"/>
    </row>
    <row r="90" spans="1:4" ht="15">
      <c r="A90" s="3"/>
      <c r="B90" s="12" t="s">
        <v>63</v>
      </c>
      <c r="C90" s="19">
        <f>+C5+C7+C9+C11+C13+C15+C17+C19</f>
        <v>33017</v>
      </c>
      <c r="D90" s="13">
        <f>D91/C90+1</f>
        <v>1.1896598721870553</v>
      </c>
    </row>
    <row r="91" spans="2:4" ht="12.75">
      <c r="B91" s="1"/>
      <c r="D91" s="27">
        <f>+D6+D8+D10+D12+D14+D16+D18+D20</f>
        <v>6262</v>
      </c>
    </row>
    <row r="92" spans="2:4" ht="15" customHeight="1">
      <c r="B92" s="240"/>
      <c r="C92" s="240"/>
      <c r="D92" s="240"/>
    </row>
  </sheetData>
  <sheetProtection/>
  <mergeCells count="2">
    <mergeCell ref="A3:D3"/>
    <mergeCell ref="B92:D9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U50"/>
  <sheetViews>
    <sheetView zoomScalePageLayoutView="0" workbookViewId="0" topLeftCell="B1">
      <selection activeCell="F72" sqref="F72"/>
    </sheetView>
  </sheetViews>
  <sheetFormatPr defaultColWidth="9.00390625" defaultRowHeight="12.75"/>
  <cols>
    <col min="1" max="1" width="32.25390625" style="0" customWidth="1"/>
    <col min="2" max="2" width="11.875" style="0" customWidth="1"/>
    <col min="3" max="3" width="12.625" style="0" customWidth="1"/>
    <col min="4" max="4" width="11.375" style="0" customWidth="1"/>
    <col min="5" max="5" width="14.625" style="0" bestFit="1" customWidth="1"/>
    <col min="6" max="6" width="11.625" style="0" customWidth="1"/>
    <col min="7" max="8" width="12.375" style="0" bestFit="1" customWidth="1"/>
    <col min="9" max="9" width="11.875" style="0" bestFit="1" customWidth="1"/>
    <col min="10" max="11" width="12.375" style="0" bestFit="1" customWidth="1"/>
    <col min="12" max="14" width="11.375" style="0" bestFit="1" customWidth="1"/>
    <col min="15" max="15" width="12.375" style="0" bestFit="1" customWidth="1"/>
    <col min="16" max="16" width="11.75390625" style="0" bestFit="1" customWidth="1"/>
    <col min="17" max="19" width="11.875" style="0" bestFit="1" customWidth="1"/>
    <col min="20" max="20" width="12.375" style="0" bestFit="1" customWidth="1"/>
    <col min="21" max="21" width="11.875" style="0" bestFit="1" customWidth="1"/>
  </cols>
  <sheetData>
    <row r="1" ht="12.75">
      <c r="F1" t="s">
        <v>185</v>
      </c>
    </row>
    <row r="2" spans="1:7" ht="36" customHeight="1">
      <c r="A2" s="244" t="s">
        <v>144</v>
      </c>
      <c r="B2" s="244"/>
      <c r="C2" s="244"/>
      <c r="D2" s="244"/>
      <c r="E2" s="244"/>
      <c r="F2" s="244"/>
      <c r="G2" s="244"/>
    </row>
    <row r="3" ht="12.75">
      <c r="G3" s="16"/>
    </row>
    <row r="4" spans="1:7" s="1" customFormat="1" ht="25.5">
      <c r="A4" s="168" t="s">
        <v>15</v>
      </c>
      <c r="B4" s="168" t="s">
        <v>145</v>
      </c>
      <c r="C4" s="168" t="s">
        <v>146</v>
      </c>
      <c r="D4" s="168" t="s">
        <v>120</v>
      </c>
      <c r="E4" s="168" t="s">
        <v>147</v>
      </c>
      <c r="F4" s="168" t="s">
        <v>148</v>
      </c>
      <c r="G4" s="169" t="s">
        <v>73</v>
      </c>
    </row>
    <row r="5" spans="1:7" ht="27.75" customHeight="1">
      <c r="A5" s="87" t="s">
        <v>70</v>
      </c>
      <c r="B5" s="90">
        <v>24860.48083</v>
      </c>
      <c r="C5" s="90">
        <v>21089.26381</v>
      </c>
      <c r="D5" s="90">
        <v>28885.999150000003</v>
      </c>
      <c r="E5" s="90">
        <f>SUM(B5:D5)</f>
        <v>74835.74379000001</v>
      </c>
      <c r="F5" s="90">
        <f>+E5/3</f>
        <v>24945.24793</v>
      </c>
      <c r="G5" s="91">
        <f>E5*100/E9</f>
        <v>25.15388057438496</v>
      </c>
    </row>
    <row r="6" spans="1:7" ht="12.75">
      <c r="A6" s="89" t="s">
        <v>66</v>
      </c>
      <c r="B6" s="90">
        <v>13920.571750000001</v>
      </c>
      <c r="C6" s="90">
        <v>11448.39562</v>
      </c>
      <c r="D6" s="90">
        <v>18466.02577</v>
      </c>
      <c r="E6" s="90">
        <f>SUM(B6:D6)</f>
        <v>43834.99314</v>
      </c>
      <c r="F6" s="90">
        <f>+E6/3</f>
        <v>14611.66438</v>
      </c>
      <c r="G6" s="91">
        <f>E6*100/E9</f>
        <v>14.733870829381438</v>
      </c>
    </row>
    <row r="7" spans="1:7" ht="12.75">
      <c r="A7" s="89" t="s">
        <v>71</v>
      </c>
      <c r="B7" s="90">
        <v>15992.439019999998</v>
      </c>
      <c r="C7" s="90">
        <v>24027.11109</v>
      </c>
      <c r="D7" s="90">
        <v>18727.80271</v>
      </c>
      <c r="E7" s="90">
        <f>SUM(B7:D7)</f>
        <v>58747.35282</v>
      </c>
      <c r="F7" s="90">
        <f>+E7/3</f>
        <v>19582.45094</v>
      </c>
      <c r="G7" s="91">
        <f>E7*100/E9</f>
        <v>19.746231173197742</v>
      </c>
    </row>
    <row r="8" spans="1:7" ht="12.75">
      <c r="A8" s="89" t="s">
        <v>72</v>
      </c>
      <c r="B8" s="90">
        <v>39558.439660000004</v>
      </c>
      <c r="C8" s="90">
        <v>35394.729049999994</v>
      </c>
      <c r="D8" s="90">
        <v>45140.46569999999</v>
      </c>
      <c r="E8" s="90">
        <f>SUM(B8:D8)</f>
        <v>120093.63441</v>
      </c>
      <c r="F8" s="90">
        <f>+E8/3</f>
        <v>40031.21147</v>
      </c>
      <c r="G8" s="91">
        <f>E8*100/E9</f>
        <v>40.36601742303586</v>
      </c>
    </row>
    <row r="9" spans="1:7" s="95" customFormat="1" ht="12.75">
      <c r="A9" s="92" t="s">
        <v>13</v>
      </c>
      <c r="B9" s="93">
        <f>B5+B6+B7+B8</f>
        <v>94331.93126000001</v>
      </c>
      <c r="C9" s="93">
        <f>C5+C6+C7+C8</f>
        <v>91959.49956999999</v>
      </c>
      <c r="D9" s="93">
        <f>SUM(D5:D8)</f>
        <v>111220.29332999999</v>
      </c>
      <c r="E9" s="93">
        <f>E5+E6+E7+E8</f>
        <v>297511.72416</v>
      </c>
      <c r="F9" s="93">
        <f>F5+F6+F7+F8</f>
        <v>99170.57472</v>
      </c>
      <c r="G9" s="94">
        <v>100</v>
      </c>
    </row>
    <row r="11" ht="12.75" hidden="1"/>
    <row r="12" spans="1:21" s="138" customFormat="1" ht="12.75" hidden="1">
      <c r="A12" s="245" t="s">
        <v>160</v>
      </c>
      <c r="B12" s="245"/>
      <c r="C12" s="245"/>
      <c r="D12" s="245"/>
      <c r="E12" s="245"/>
      <c r="F12" s="245"/>
      <c r="G12" s="245"/>
      <c r="H12" s="245"/>
      <c r="I12" s="245"/>
      <c r="J12" s="245"/>
      <c r="K12" s="245"/>
      <c r="L12" s="245"/>
      <c r="M12" s="245"/>
      <c r="N12" s="245"/>
      <c r="O12" s="245"/>
      <c r="P12" s="245"/>
      <c r="Q12" s="245"/>
      <c r="R12" s="245"/>
      <c r="S12" s="245"/>
      <c r="T12" s="245"/>
      <c r="U12" s="245"/>
    </row>
    <row r="13" spans="1:5" s="105" customFormat="1" ht="18.75" hidden="1">
      <c r="A13" s="246"/>
      <c r="B13" s="246"/>
      <c r="C13" s="246"/>
      <c r="D13" s="246"/>
      <c r="E13" s="246"/>
    </row>
    <row r="14" spans="1:21" s="138" customFormat="1" ht="12.75" hidden="1">
      <c r="A14" s="241" t="s">
        <v>161</v>
      </c>
      <c r="B14" s="247" t="s">
        <v>134</v>
      </c>
      <c r="C14" s="247"/>
      <c r="D14" s="247"/>
      <c r="E14" s="247"/>
      <c r="F14" s="247"/>
      <c r="G14" s="247" t="s">
        <v>135</v>
      </c>
      <c r="H14" s="247"/>
      <c r="I14" s="247"/>
      <c r="J14" s="247"/>
      <c r="K14" s="247"/>
      <c r="L14" s="247" t="s">
        <v>136</v>
      </c>
      <c r="M14" s="247"/>
      <c r="N14" s="247"/>
      <c r="O14" s="247"/>
      <c r="P14" s="247"/>
      <c r="Q14" s="247" t="s">
        <v>137</v>
      </c>
      <c r="R14" s="247"/>
      <c r="S14" s="247"/>
      <c r="T14" s="247"/>
      <c r="U14" s="247"/>
    </row>
    <row r="15" spans="1:21" s="138" customFormat="1" ht="25.5" hidden="1">
      <c r="A15" s="242"/>
      <c r="B15" s="139" t="s">
        <v>162</v>
      </c>
      <c r="C15" s="139" t="s">
        <v>163</v>
      </c>
      <c r="D15" s="139" t="s">
        <v>164</v>
      </c>
      <c r="E15" s="140" t="s">
        <v>165</v>
      </c>
      <c r="F15" s="141" t="s">
        <v>166</v>
      </c>
      <c r="G15" s="139" t="s">
        <v>162</v>
      </c>
      <c r="H15" s="139" t="s">
        <v>163</v>
      </c>
      <c r="I15" s="139" t="s">
        <v>164</v>
      </c>
      <c r="J15" s="140" t="s">
        <v>165</v>
      </c>
      <c r="K15" s="141" t="s">
        <v>166</v>
      </c>
      <c r="L15" s="139" t="s">
        <v>162</v>
      </c>
      <c r="M15" s="139" t="s">
        <v>163</v>
      </c>
      <c r="N15" s="139" t="s">
        <v>164</v>
      </c>
      <c r="O15" s="140" t="s">
        <v>165</v>
      </c>
      <c r="P15" s="141" t="s">
        <v>166</v>
      </c>
      <c r="Q15" s="139" t="s">
        <v>162</v>
      </c>
      <c r="R15" s="139" t="s">
        <v>163</v>
      </c>
      <c r="S15" s="139" t="s">
        <v>164</v>
      </c>
      <c r="T15" s="140" t="s">
        <v>165</v>
      </c>
      <c r="U15" s="141" t="s">
        <v>166</v>
      </c>
    </row>
    <row r="16" spans="1:21" s="138" customFormat="1" ht="12.75" hidden="1">
      <c r="A16" s="142" t="s">
        <v>167</v>
      </c>
      <c r="B16" s="151">
        <v>3254.53936</v>
      </c>
      <c r="C16" s="151">
        <v>3016.22327</v>
      </c>
      <c r="D16" s="151">
        <v>3396.53337</v>
      </c>
      <c r="E16" s="152">
        <f aca="true" t="shared" si="0" ref="E16:E21">+B16+C16+D16</f>
        <v>9667.296</v>
      </c>
      <c r="F16" s="153">
        <f aca="true" t="shared" si="1" ref="F16:F21">+E16/3</f>
        <v>3222.4320000000002</v>
      </c>
      <c r="G16" s="151">
        <v>5036.71134</v>
      </c>
      <c r="H16" s="151">
        <v>2554.38698</v>
      </c>
      <c r="I16" s="151">
        <v>7172.91707</v>
      </c>
      <c r="J16" s="152">
        <f aca="true" t="shared" si="2" ref="J16:J21">+G16+H16+I16</f>
        <v>14764.01539</v>
      </c>
      <c r="K16" s="153">
        <f aca="true" t="shared" si="3" ref="K16:K21">+J16/3</f>
        <v>4921.3384633333335</v>
      </c>
      <c r="L16" s="151">
        <v>1894.73398</v>
      </c>
      <c r="M16" s="151">
        <v>1580.99967</v>
      </c>
      <c r="N16" s="151">
        <v>1839.99565</v>
      </c>
      <c r="O16" s="152">
        <f aca="true" t="shared" si="4" ref="O16:O21">+L16+M16+N16</f>
        <v>5315.7293</v>
      </c>
      <c r="P16" s="153">
        <f>+O16/3</f>
        <v>1771.9097666666667</v>
      </c>
      <c r="Q16" s="151">
        <v>1455.7</v>
      </c>
      <c r="R16" s="151">
        <v>1178.2</v>
      </c>
      <c r="S16" s="151">
        <v>1264.4</v>
      </c>
      <c r="T16" s="152">
        <f aca="true" t="shared" si="5" ref="T16:T21">+Q16+R16+S16</f>
        <v>3898.3</v>
      </c>
      <c r="U16" s="153">
        <f aca="true" t="shared" si="6" ref="U16:U21">+T16/3</f>
        <v>1299.4333333333334</v>
      </c>
    </row>
    <row r="17" spans="1:21" s="138" customFormat="1" ht="12.75" hidden="1">
      <c r="A17" s="142" t="s">
        <v>168</v>
      </c>
      <c r="B17" s="151">
        <v>4569.65377</v>
      </c>
      <c r="C17" s="151">
        <v>5457.18737</v>
      </c>
      <c r="D17" s="151">
        <v>6303.67937</v>
      </c>
      <c r="E17" s="152">
        <f t="shared" si="0"/>
        <v>16330.52051</v>
      </c>
      <c r="F17" s="153">
        <f t="shared" si="1"/>
        <v>5443.5068366666665</v>
      </c>
      <c r="G17" s="151">
        <v>3344.15599</v>
      </c>
      <c r="H17" s="151">
        <v>465.41656</v>
      </c>
      <c r="I17" s="151">
        <v>3906.4916</v>
      </c>
      <c r="J17" s="152">
        <f t="shared" si="2"/>
        <v>7716.06415</v>
      </c>
      <c r="K17" s="153">
        <f t="shared" si="3"/>
        <v>2572.0213833333332</v>
      </c>
      <c r="L17" s="151">
        <v>240.15896</v>
      </c>
      <c r="M17" s="151">
        <v>356.28741</v>
      </c>
      <c r="N17" s="151">
        <v>695.78966</v>
      </c>
      <c r="O17" s="152">
        <f t="shared" si="4"/>
        <v>1292.23603</v>
      </c>
      <c r="P17" s="153">
        <f>+O17/3</f>
        <v>430.7453433333333</v>
      </c>
      <c r="Q17" s="151">
        <v>592.1</v>
      </c>
      <c r="R17" s="151">
        <v>440.7</v>
      </c>
      <c r="S17" s="151">
        <v>644.5</v>
      </c>
      <c r="T17" s="152">
        <f t="shared" si="5"/>
        <v>1677.3</v>
      </c>
      <c r="U17" s="153">
        <f t="shared" si="6"/>
        <v>559.1</v>
      </c>
    </row>
    <row r="18" spans="1:21" s="138" customFormat="1" ht="12.75" hidden="1">
      <c r="A18" s="142" t="s">
        <v>169</v>
      </c>
      <c r="B18" s="151">
        <v>1787.02453</v>
      </c>
      <c r="C18" s="151">
        <v>2489.51</v>
      </c>
      <c r="D18" s="151">
        <v>1880.12195</v>
      </c>
      <c r="E18" s="152">
        <f t="shared" si="0"/>
        <v>6156.65648</v>
      </c>
      <c r="F18" s="153">
        <f t="shared" si="1"/>
        <v>2052.2188266666667</v>
      </c>
      <c r="G18" s="151">
        <v>1776.05415</v>
      </c>
      <c r="H18" s="151">
        <v>5922.58228</v>
      </c>
      <c r="I18" s="151">
        <v>1562.14764</v>
      </c>
      <c r="J18" s="152">
        <f t="shared" si="2"/>
        <v>9260.78407</v>
      </c>
      <c r="K18" s="153">
        <f t="shared" si="3"/>
        <v>3086.9280233333334</v>
      </c>
      <c r="L18" s="151">
        <v>1270.24998</v>
      </c>
      <c r="M18" s="151">
        <v>2733.59466</v>
      </c>
      <c r="N18" s="151">
        <v>1632.01234</v>
      </c>
      <c r="O18" s="152">
        <f t="shared" si="4"/>
        <v>5635.8569800000005</v>
      </c>
      <c r="P18" s="153">
        <f>+O18/3</f>
        <v>1878.6189933333335</v>
      </c>
      <c r="Q18" s="151">
        <v>313</v>
      </c>
      <c r="R18" s="151">
        <v>318.1</v>
      </c>
      <c r="S18" s="151">
        <v>418.2</v>
      </c>
      <c r="T18" s="152">
        <f t="shared" si="5"/>
        <v>1049.3</v>
      </c>
      <c r="U18" s="153">
        <f t="shared" si="6"/>
        <v>349.76666666666665</v>
      </c>
    </row>
    <row r="19" spans="1:21" s="138" customFormat="1" ht="12.75" hidden="1">
      <c r="A19" s="142" t="s">
        <v>170</v>
      </c>
      <c r="B19" s="151">
        <f>+B20+B21</f>
        <v>6731.46727</v>
      </c>
      <c r="C19" s="151">
        <f>+C20+C21</f>
        <v>4570.03788</v>
      </c>
      <c r="D19" s="151">
        <f>+D20+D21</f>
        <v>5869.58691</v>
      </c>
      <c r="E19" s="152">
        <f t="shared" si="0"/>
        <v>17171.092060000003</v>
      </c>
      <c r="F19" s="153">
        <f t="shared" si="1"/>
        <v>5723.697353333334</v>
      </c>
      <c r="G19" s="151">
        <v>8032.07853</v>
      </c>
      <c r="H19" s="151">
        <v>4978.38419</v>
      </c>
      <c r="I19" s="151">
        <v>2090.35369</v>
      </c>
      <c r="J19" s="152">
        <f t="shared" si="2"/>
        <v>15100.81641</v>
      </c>
      <c r="K19" s="153">
        <f t="shared" si="3"/>
        <v>5033.6054699999995</v>
      </c>
      <c r="L19" s="151">
        <f>38.1+4105.16943</f>
        <v>4143.26943</v>
      </c>
      <c r="M19" s="151">
        <f>56.18689+3473.07203</f>
        <v>3529.2589199999998</v>
      </c>
      <c r="N19" s="151">
        <v>5206.10522</v>
      </c>
      <c r="O19" s="152">
        <f t="shared" si="4"/>
        <v>12878.633570000002</v>
      </c>
      <c r="P19" s="153">
        <f>+O19/3</f>
        <v>4292.877856666667</v>
      </c>
      <c r="Q19" s="151">
        <f>+Q20+Q21</f>
        <v>3561.2000000000003</v>
      </c>
      <c r="R19" s="151">
        <f>+R20+R21</f>
        <v>2541.9</v>
      </c>
      <c r="S19" s="151">
        <f>+S20+S21</f>
        <v>4656.3</v>
      </c>
      <c r="T19" s="152">
        <f t="shared" si="5"/>
        <v>10759.400000000001</v>
      </c>
      <c r="U19" s="153">
        <f t="shared" si="6"/>
        <v>3586.466666666667</v>
      </c>
    </row>
    <row r="20" spans="1:21" s="144" customFormat="1" ht="12.75" hidden="1">
      <c r="A20" s="143" t="s">
        <v>171</v>
      </c>
      <c r="B20" s="154">
        <v>658.21799</v>
      </c>
      <c r="C20" s="154">
        <v>736.82424</v>
      </c>
      <c r="D20" s="154">
        <v>530.90273</v>
      </c>
      <c r="E20" s="155">
        <f t="shared" si="0"/>
        <v>1925.94496</v>
      </c>
      <c r="F20" s="156">
        <f t="shared" si="1"/>
        <v>641.9816533333334</v>
      </c>
      <c r="G20" s="154"/>
      <c r="H20" s="154"/>
      <c r="I20" s="154"/>
      <c r="J20" s="155">
        <f t="shared" si="2"/>
        <v>0</v>
      </c>
      <c r="K20" s="156">
        <f t="shared" si="3"/>
        <v>0</v>
      </c>
      <c r="L20" s="154">
        <v>94.7435</v>
      </c>
      <c r="M20" s="154">
        <v>36.18689</v>
      </c>
      <c r="N20" s="154">
        <v>0</v>
      </c>
      <c r="O20" s="155">
        <f t="shared" si="4"/>
        <v>130.93039</v>
      </c>
      <c r="P20" s="157">
        <f>+O20/2</f>
        <v>65.465195</v>
      </c>
      <c r="Q20" s="154">
        <v>487.3</v>
      </c>
      <c r="R20" s="154">
        <v>393</v>
      </c>
      <c r="S20" s="154">
        <v>535.7</v>
      </c>
      <c r="T20" s="155">
        <f t="shared" si="5"/>
        <v>1416</v>
      </c>
      <c r="U20" s="156">
        <f t="shared" si="6"/>
        <v>472</v>
      </c>
    </row>
    <row r="21" spans="1:21" s="144" customFormat="1" ht="12.75" hidden="1">
      <c r="A21" s="143" t="s">
        <v>170</v>
      </c>
      <c r="B21" s="154">
        <v>6073.24928</v>
      </c>
      <c r="C21" s="154">
        <v>3833.21364</v>
      </c>
      <c r="D21" s="154">
        <v>5338.68418</v>
      </c>
      <c r="E21" s="155">
        <f t="shared" si="0"/>
        <v>15245.1471</v>
      </c>
      <c r="F21" s="156">
        <f t="shared" si="1"/>
        <v>5081.7157</v>
      </c>
      <c r="G21" s="154">
        <v>7060.58078</v>
      </c>
      <c r="H21" s="154">
        <v>8041.93055</v>
      </c>
      <c r="I21" s="154">
        <v>2713.89569</v>
      </c>
      <c r="J21" s="155">
        <f t="shared" si="2"/>
        <v>17816.407020000002</v>
      </c>
      <c r="K21" s="156">
        <f t="shared" si="3"/>
        <v>5938.802340000001</v>
      </c>
      <c r="L21" s="154">
        <v>2378.68668</v>
      </c>
      <c r="M21" s="154">
        <v>2848.62453</v>
      </c>
      <c r="N21" s="154">
        <v>3630.02186</v>
      </c>
      <c r="O21" s="155">
        <f t="shared" si="4"/>
        <v>8857.33307</v>
      </c>
      <c r="P21" s="156">
        <f>+O21/3</f>
        <v>2952.444356666667</v>
      </c>
      <c r="Q21" s="154">
        <v>3073.9</v>
      </c>
      <c r="R21" s="154">
        <v>2148.9</v>
      </c>
      <c r="S21" s="154">
        <v>4120.6</v>
      </c>
      <c r="T21" s="155">
        <f t="shared" si="5"/>
        <v>9343.400000000001</v>
      </c>
      <c r="U21" s="156">
        <f t="shared" si="6"/>
        <v>3114.466666666667</v>
      </c>
    </row>
    <row r="22" spans="1:21" s="138" customFormat="1" ht="12.75" hidden="1">
      <c r="A22" s="145" t="s">
        <v>172</v>
      </c>
      <c r="B22" s="158">
        <f>+B16+B17+B18+B19</f>
        <v>16342.68493</v>
      </c>
      <c r="C22" s="158">
        <f aca="true" t="shared" si="7" ref="C22:U22">+C16+C17+C18+C19</f>
        <v>15532.95852</v>
      </c>
      <c r="D22" s="158">
        <f>+D16+D17+D18+D19</f>
        <v>17449.9216</v>
      </c>
      <c r="E22" s="158">
        <f>+E16+E17+E18+E19</f>
        <v>49325.565050000005</v>
      </c>
      <c r="F22" s="159">
        <f t="shared" si="7"/>
        <v>16441.85501666667</v>
      </c>
      <c r="G22" s="158">
        <f t="shared" si="7"/>
        <v>18189.00001</v>
      </c>
      <c r="H22" s="158">
        <f t="shared" si="7"/>
        <v>13920.77001</v>
      </c>
      <c r="I22" s="158">
        <f>+I16+I17+I18+I19</f>
        <v>14731.91</v>
      </c>
      <c r="J22" s="158">
        <f t="shared" si="7"/>
        <v>46841.68002</v>
      </c>
      <c r="K22" s="159">
        <f t="shared" si="7"/>
        <v>15613.893339999999</v>
      </c>
      <c r="L22" s="158">
        <f t="shared" si="7"/>
        <v>7548.4123500000005</v>
      </c>
      <c r="M22" s="158">
        <f t="shared" si="7"/>
        <v>8200.140660000001</v>
      </c>
      <c r="N22" s="158">
        <f t="shared" si="7"/>
        <v>9373.902870000002</v>
      </c>
      <c r="O22" s="158">
        <f t="shared" si="7"/>
        <v>25122.45588</v>
      </c>
      <c r="P22" s="159">
        <f t="shared" si="7"/>
        <v>8374.151960000001</v>
      </c>
      <c r="Q22" s="158">
        <f t="shared" si="7"/>
        <v>5922</v>
      </c>
      <c r="R22" s="158">
        <f t="shared" si="7"/>
        <v>4478.9</v>
      </c>
      <c r="S22" s="158">
        <f t="shared" si="7"/>
        <v>6983.4</v>
      </c>
      <c r="T22" s="158">
        <f t="shared" si="7"/>
        <v>17384.300000000003</v>
      </c>
      <c r="U22" s="159">
        <f t="shared" si="7"/>
        <v>5794.766666666667</v>
      </c>
    </row>
    <row r="23" spans="1:21" s="147" customFormat="1" ht="12.75" hidden="1">
      <c r="A23" s="146"/>
      <c r="B23" s="158">
        <v>16491.98168</v>
      </c>
      <c r="C23" s="158">
        <v>15532.95852</v>
      </c>
      <c r="D23" s="158">
        <v>18877.99005</v>
      </c>
      <c r="E23" s="158">
        <f>+B23+C23+D23</f>
        <v>50902.930250000005</v>
      </c>
      <c r="F23" s="159">
        <f>+E23/3</f>
        <v>16967.64341666667</v>
      </c>
      <c r="G23" s="158">
        <v>18187.99612</v>
      </c>
      <c r="H23" s="158">
        <v>13920.76516</v>
      </c>
      <c r="I23" s="158">
        <v>14731.90556</v>
      </c>
      <c r="J23" s="158">
        <f>+G23+H23+I23</f>
        <v>46840.66684</v>
      </c>
      <c r="K23" s="159">
        <f>+J23/3</f>
        <v>15613.555613333332</v>
      </c>
      <c r="L23" s="158">
        <v>7664.11235</v>
      </c>
      <c r="M23" s="158">
        <v>8252.14066</v>
      </c>
      <c r="N23" s="158">
        <v>9695.76687</v>
      </c>
      <c r="O23" s="158">
        <f>+L23+M23+N23</f>
        <v>25612.01988</v>
      </c>
      <c r="P23" s="159">
        <f>+O23/3</f>
        <v>8537.33996</v>
      </c>
      <c r="Q23" s="158">
        <v>5279.34971</v>
      </c>
      <c r="R23" s="158">
        <v>4479.01721</v>
      </c>
      <c r="S23" s="158">
        <v>6983.41739</v>
      </c>
      <c r="T23" s="158">
        <f>+Q23+R23+S23</f>
        <v>16741.78431</v>
      </c>
      <c r="U23" s="159">
        <f>+T23/3</f>
        <v>5580.59477</v>
      </c>
    </row>
    <row r="24" spans="1:21" s="138" customFormat="1" ht="12.75" hidden="1">
      <c r="A24" s="148"/>
      <c r="B24" s="160"/>
      <c r="C24" s="160"/>
      <c r="D24" s="160"/>
      <c r="E24" s="160"/>
      <c r="F24" s="161">
        <f>+F22-F23</f>
        <v>-525.7884000000013</v>
      </c>
      <c r="G24" s="160"/>
      <c r="H24" s="160"/>
      <c r="I24" s="160"/>
      <c r="J24" s="160"/>
      <c r="K24" s="161">
        <f>+K22-K23</f>
        <v>0.3377266666666401</v>
      </c>
      <c r="L24" s="161"/>
      <c r="M24" s="161"/>
      <c r="N24" s="161"/>
      <c r="O24" s="161"/>
      <c r="P24" s="161">
        <f>+P22-P23</f>
        <v>-163.18799999999828</v>
      </c>
      <c r="Q24" s="161"/>
      <c r="R24" s="161"/>
      <c r="S24" s="161"/>
      <c r="T24" s="161"/>
      <c r="U24" s="161">
        <f>+U22-U23</f>
        <v>214.17189666666764</v>
      </c>
    </row>
    <row r="25" spans="1:21" s="138" customFormat="1" ht="12.75" hidden="1">
      <c r="A25" s="149"/>
      <c r="B25" s="161"/>
      <c r="C25" s="161"/>
      <c r="D25" s="161"/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</row>
    <row r="26" spans="1:21" s="138" customFormat="1" ht="12.75" hidden="1">
      <c r="A26" s="241" t="s">
        <v>161</v>
      </c>
      <c r="B26" s="243" t="s">
        <v>138</v>
      </c>
      <c r="C26" s="243"/>
      <c r="D26" s="243"/>
      <c r="E26" s="243"/>
      <c r="F26" s="243"/>
      <c r="G26" s="243" t="s">
        <v>139</v>
      </c>
      <c r="H26" s="243"/>
      <c r="I26" s="243"/>
      <c r="J26" s="243"/>
      <c r="K26" s="243"/>
      <c r="L26" s="243" t="s">
        <v>140</v>
      </c>
      <c r="M26" s="243"/>
      <c r="N26" s="243"/>
      <c r="O26" s="243"/>
      <c r="P26" s="243"/>
      <c r="Q26" s="243" t="s">
        <v>141</v>
      </c>
      <c r="R26" s="243"/>
      <c r="S26" s="243"/>
      <c r="T26" s="243"/>
      <c r="U26" s="243"/>
    </row>
    <row r="27" spans="1:21" s="138" customFormat="1" ht="25.5" hidden="1">
      <c r="A27" s="242"/>
      <c r="B27" s="162" t="s">
        <v>162</v>
      </c>
      <c r="C27" s="162" t="s">
        <v>163</v>
      </c>
      <c r="D27" s="162" t="s">
        <v>164</v>
      </c>
      <c r="E27" s="163" t="s">
        <v>165</v>
      </c>
      <c r="F27" s="164" t="s">
        <v>166</v>
      </c>
      <c r="G27" s="162" t="s">
        <v>162</v>
      </c>
      <c r="H27" s="162" t="s">
        <v>163</v>
      </c>
      <c r="I27" s="162" t="s">
        <v>164</v>
      </c>
      <c r="J27" s="163" t="s">
        <v>165</v>
      </c>
      <c r="K27" s="164" t="s">
        <v>166</v>
      </c>
      <c r="L27" s="162" t="s">
        <v>162</v>
      </c>
      <c r="M27" s="162" t="s">
        <v>163</v>
      </c>
      <c r="N27" s="162" t="s">
        <v>164</v>
      </c>
      <c r="O27" s="163" t="s">
        <v>165</v>
      </c>
      <c r="P27" s="164" t="s">
        <v>166</v>
      </c>
      <c r="Q27" s="162" t="s">
        <v>162</v>
      </c>
      <c r="R27" s="162" t="s">
        <v>163</v>
      </c>
      <c r="S27" s="162" t="s">
        <v>164</v>
      </c>
      <c r="T27" s="163" t="s">
        <v>165</v>
      </c>
      <c r="U27" s="164" t="s">
        <v>166</v>
      </c>
    </row>
    <row r="28" spans="1:21" s="138" customFormat="1" ht="12.75" hidden="1">
      <c r="A28" s="142" t="s">
        <v>167</v>
      </c>
      <c r="B28" s="151">
        <v>2394.3</v>
      </c>
      <c r="C28" s="151">
        <v>2490.8</v>
      </c>
      <c r="D28" s="151">
        <v>2804.3</v>
      </c>
      <c r="E28" s="152">
        <f aca="true" t="shared" si="8" ref="E28:E33">+B28+C28+D28</f>
        <v>7689.400000000001</v>
      </c>
      <c r="F28" s="153">
        <f aca="true" t="shared" si="9" ref="F28:F33">+E28/3</f>
        <v>2563.1333333333337</v>
      </c>
      <c r="G28" s="151">
        <v>4048.91306</v>
      </c>
      <c r="H28" s="151">
        <v>4330.53525</v>
      </c>
      <c r="I28" s="151">
        <v>6447.18501</v>
      </c>
      <c r="J28" s="152">
        <f aca="true" t="shared" si="10" ref="J28:J33">+G28+H28+I28</f>
        <v>14826.63332</v>
      </c>
      <c r="K28" s="153">
        <f aca="true" t="shared" si="11" ref="K28:K33">+J28/3</f>
        <v>4942.211106666667</v>
      </c>
      <c r="L28" s="151">
        <v>3196.86</v>
      </c>
      <c r="M28" s="151">
        <v>1768.47</v>
      </c>
      <c r="N28" s="151">
        <v>1831.42</v>
      </c>
      <c r="O28" s="152">
        <f aca="true" t="shared" si="12" ref="O28:O33">+L28+M28+N28</f>
        <v>6796.75</v>
      </c>
      <c r="P28" s="153">
        <f aca="true" t="shared" si="13" ref="P28:P33">+O28/3</f>
        <v>2265.5833333333335</v>
      </c>
      <c r="Q28" s="151">
        <v>3578.72309</v>
      </c>
      <c r="R28" s="151">
        <v>4169.64864</v>
      </c>
      <c r="S28" s="151">
        <v>4129.24805</v>
      </c>
      <c r="T28" s="152">
        <f aca="true" t="shared" si="14" ref="T28:T33">+Q28+R28+S28</f>
        <v>11877.61978</v>
      </c>
      <c r="U28" s="153">
        <f aca="true" t="shared" si="15" ref="U28:U33">+T28/3</f>
        <v>3959.206593333334</v>
      </c>
    </row>
    <row r="29" spans="1:21" s="138" customFormat="1" ht="12.75" hidden="1">
      <c r="A29" s="142" t="s">
        <v>168</v>
      </c>
      <c r="B29" s="151">
        <v>172.5</v>
      </c>
      <c r="C29" s="151">
        <v>446.8</v>
      </c>
      <c r="D29" s="151">
        <v>1436.8</v>
      </c>
      <c r="E29" s="152">
        <f t="shared" si="8"/>
        <v>2056.1</v>
      </c>
      <c r="F29" s="153">
        <f t="shared" si="9"/>
        <v>685.3666666666667</v>
      </c>
      <c r="G29" s="151">
        <v>1631.10322</v>
      </c>
      <c r="H29" s="151">
        <v>1275.34991</v>
      </c>
      <c r="I29" s="151">
        <v>1408.46532</v>
      </c>
      <c r="J29" s="152">
        <f t="shared" si="10"/>
        <v>4314.91845</v>
      </c>
      <c r="K29" s="153">
        <f t="shared" si="11"/>
        <v>1438.3061500000001</v>
      </c>
      <c r="L29" s="151">
        <v>2023.61</v>
      </c>
      <c r="M29" s="151">
        <v>1843.88</v>
      </c>
      <c r="N29" s="151">
        <v>2325.44</v>
      </c>
      <c r="O29" s="152">
        <f t="shared" si="12"/>
        <v>6192.93</v>
      </c>
      <c r="P29" s="153">
        <f t="shared" si="13"/>
        <v>2064.31</v>
      </c>
      <c r="Q29" s="151">
        <v>1347.28981</v>
      </c>
      <c r="R29" s="151">
        <v>1162.77437</v>
      </c>
      <c r="S29" s="151">
        <v>1744.85982</v>
      </c>
      <c r="T29" s="152">
        <f t="shared" si="14"/>
        <v>4254.924</v>
      </c>
      <c r="U29" s="153">
        <f t="shared" si="15"/>
        <v>1418.308</v>
      </c>
    </row>
    <row r="30" spans="1:21" s="138" customFormat="1" ht="12.75" hidden="1">
      <c r="A30" s="142" t="s">
        <v>169</v>
      </c>
      <c r="B30" s="151">
        <v>3213.9</v>
      </c>
      <c r="C30" s="151">
        <v>1537.4</v>
      </c>
      <c r="D30" s="151">
        <v>976.2</v>
      </c>
      <c r="E30" s="152">
        <f t="shared" si="8"/>
        <v>5727.5</v>
      </c>
      <c r="F30" s="153">
        <f t="shared" si="9"/>
        <v>1909.1666666666667</v>
      </c>
      <c r="G30" s="151">
        <v>3915.77277</v>
      </c>
      <c r="H30" s="151">
        <v>4706.33132</v>
      </c>
      <c r="I30" s="151">
        <v>4915.16365</v>
      </c>
      <c r="J30" s="152">
        <f t="shared" si="10"/>
        <v>13537.267740000001</v>
      </c>
      <c r="K30" s="153">
        <f t="shared" si="11"/>
        <v>4512.42258</v>
      </c>
      <c r="L30" s="151">
        <v>531.92</v>
      </c>
      <c r="M30" s="151">
        <v>323.94</v>
      </c>
      <c r="N30" s="151">
        <v>115.06</v>
      </c>
      <c r="O30" s="152">
        <f t="shared" si="12"/>
        <v>970.9199999999998</v>
      </c>
      <c r="P30" s="153">
        <f t="shared" si="13"/>
        <v>323.63999999999993</v>
      </c>
      <c r="Q30" s="151">
        <v>3184.51759</v>
      </c>
      <c r="R30" s="151">
        <v>5995.65283</v>
      </c>
      <c r="S30" s="151">
        <v>7228.89713</v>
      </c>
      <c r="T30" s="152">
        <f t="shared" si="14"/>
        <v>16409.06755</v>
      </c>
      <c r="U30" s="153">
        <f t="shared" si="15"/>
        <v>5469.689183333333</v>
      </c>
    </row>
    <row r="31" spans="1:21" s="138" customFormat="1" ht="12.75" hidden="1">
      <c r="A31" s="142" t="s">
        <v>170</v>
      </c>
      <c r="B31" s="151">
        <f>+B32+B33</f>
        <v>4589.400000000001</v>
      </c>
      <c r="C31" s="151">
        <f>+C32+C33</f>
        <v>4573.4</v>
      </c>
      <c r="D31" s="151">
        <f>+D32+D33</f>
        <v>6806.8</v>
      </c>
      <c r="E31" s="152">
        <f t="shared" si="8"/>
        <v>15969.599999999999</v>
      </c>
      <c r="F31" s="153">
        <f t="shared" si="9"/>
        <v>5323.2</v>
      </c>
      <c r="G31" s="151">
        <v>5252.04484</v>
      </c>
      <c r="H31" s="151">
        <v>6429.90475</v>
      </c>
      <c r="I31" s="151">
        <v>8584.00713</v>
      </c>
      <c r="J31" s="152">
        <f t="shared" si="10"/>
        <v>20265.956720000002</v>
      </c>
      <c r="K31" s="153">
        <f t="shared" si="11"/>
        <v>6755.318906666667</v>
      </c>
      <c r="L31" s="151">
        <v>3486.3</v>
      </c>
      <c r="M31" s="151">
        <v>2817.59</v>
      </c>
      <c r="N31" s="151">
        <v>4536.46</v>
      </c>
      <c r="O31" s="152">
        <f t="shared" si="12"/>
        <v>10840.35</v>
      </c>
      <c r="P31" s="153">
        <f t="shared" si="13"/>
        <v>3613.4500000000003</v>
      </c>
      <c r="Q31" s="151">
        <v>3762.67959</v>
      </c>
      <c r="R31" s="151">
        <v>5954.25331</v>
      </c>
      <c r="S31" s="151">
        <v>7390.85275</v>
      </c>
      <c r="T31" s="152">
        <f t="shared" si="14"/>
        <v>17107.785649999998</v>
      </c>
      <c r="U31" s="153">
        <f t="shared" si="15"/>
        <v>5702.595216666666</v>
      </c>
    </row>
    <row r="32" spans="1:21" s="144" customFormat="1" ht="12.75" hidden="1">
      <c r="A32" s="143" t="s">
        <v>171</v>
      </c>
      <c r="B32" s="154">
        <v>572.1</v>
      </c>
      <c r="C32" s="154">
        <v>543</v>
      </c>
      <c r="D32" s="154">
        <v>750.7</v>
      </c>
      <c r="E32" s="155">
        <f t="shared" si="8"/>
        <v>1865.8</v>
      </c>
      <c r="F32" s="156">
        <f t="shared" si="9"/>
        <v>621.9333333333333</v>
      </c>
      <c r="G32" s="154"/>
      <c r="H32" s="154"/>
      <c r="I32" s="154"/>
      <c r="J32" s="155">
        <f t="shared" si="10"/>
        <v>0</v>
      </c>
      <c r="K32" s="156">
        <f t="shared" si="11"/>
        <v>0</v>
      </c>
      <c r="L32" s="154">
        <v>471.81</v>
      </c>
      <c r="M32" s="154">
        <v>400.92</v>
      </c>
      <c r="N32" s="154">
        <v>556.81</v>
      </c>
      <c r="O32" s="155">
        <f t="shared" si="12"/>
        <v>1429.54</v>
      </c>
      <c r="P32" s="156">
        <f t="shared" si="13"/>
        <v>476.5133333333333</v>
      </c>
      <c r="Q32" s="154"/>
      <c r="R32" s="154"/>
      <c r="S32" s="154"/>
      <c r="T32" s="155">
        <f t="shared" si="14"/>
        <v>0</v>
      </c>
      <c r="U32" s="156">
        <f t="shared" si="15"/>
        <v>0</v>
      </c>
    </row>
    <row r="33" spans="1:21" s="144" customFormat="1" ht="12.75" hidden="1">
      <c r="A33" s="143" t="s">
        <v>170</v>
      </c>
      <c r="B33" s="154">
        <v>4017.3</v>
      </c>
      <c r="C33" s="154">
        <v>4030.4</v>
      </c>
      <c r="D33" s="154">
        <v>6056.1</v>
      </c>
      <c r="E33" s="155">
        <f t="shared" si="8"/>
        <v>14103.800000000001</v>
      </c>
      <c r="F33" s="156">
        <f t="shared" si="9"/>
        <v>4701.266666666667</v>
      </c>
      <c r="G33" s="154">
        <v>24429.60453</v>
      </c>
      <c r="H33" s="154">
        <v>12796.52833</v>
      </c>
      <c r="I33" s="154">
        <v>9468.86727</v>
      </c>
      <c r="J33" s="155">
        <f t="shared" si="10"/>
        <v>46695.00013</v>
      </c>
      <c r="K33" s="156">
        <f t="shared" si="11"/>
        <v>15565.000043333333</v>
      </c>
      <c r="L33" s="154">
        <v>4056.45</v>
      </c>
      <c r="M33" s="154">
        <v>3178.3</v>
      </c>
      <c r="N33" s="154">
        <v>5412.41</v>
      </c>
      <c r="O33" s="155">
        <f t="shared" si="12"/>
        <v>12647.16</v>
      </c>
      <c r="P33" s="156">
        <f t="shared" si="13"/>
        <v>4215.72</v>
      </c>
      <c r="Q33" s="154">
        <v>8032.07853</v>
      </c>
      <c r="R33" s="154">
        <v>4978.38419</v>
      </c>
      <c r="S33" s="154">
        <v>2090.35369</v>
      </c>
      <c r="T33" s="155">
        <f t="shared" si="14"/>
        <v>15100.81641</v>
      </c>
      <c r="U33" s="156">
        <f t="shared" si="15"/>
        <v>5033.6054699999995</v>
      </c>
    </row>
    <row r="34" spans="1:21" s="138" customFormat="1" ht="12.75" hidden="1">
      <c r="A34" s="145" t="s">
        <v>172</v>
      </c>
      <c r="B34" s="158">
        <f>+B28+B29+B30+B31</f>
        <v>10370.100000000002</v>
      </c>
      <c r="C34" s="158">
        <f>+C28+C29+C30+C31</f>
        <v>9048.4</v>
      </c>
      <c r="D34" s="158">
        <f>+D28+D29+D30+D31</f>
        <v>12024.1</v>
      </c>
      <c r="E34" s="158">
        <f aca="true" t="shared" si="16" ref="E34:U34">+E28+E29+E30+E31</f>
        <v>31442.6</v>
      </c>
      <c r="F34" s="159">
        <f t="shared" si="16"/>
        <v>10480.866666666667</v>
      </c>
      <c r="G34" s="158">
        <f t="shared" si="16"/>
        <v>14847.833889999998</v>
      </c>
      <c r="H34" s="158">
        <f t="shared" si="16"/>
        <v>16742.121229999997</v>
      </c>
      <c r="I34" s="158">
        <f t="shared" si="16"/>
        <v>21354.82111</v>
      </c>
      <c r="J34" s="158">
        <f t="shared" si="16"/>
        <v>52944.77623</v>
      </c>
      <c r="K34" s="159">
        <f t="shared" si="16"/>
        <v>17648.258743333336</v>
      </c>
      <c r="L34" s="158">
        <f t="shared" si="16"/>
        <v>9238.69</v>
      </c>
      <c r="M34" s="158">
        <f t="shared" si="16"/>
        <v>6753.880000000001</v>
      </c>
      <c r="N34" s="158">
        <f t="shared" si="16"/>
        <v>8808.380000000001</v>
      </c>
      <c r="O34" s="158">
        <f t="shared" si="16"/>
        <v>24800.95</v>
      </c>
      <c r="P34" s="159">
        <f t="shared" si="16"/>
        <v>8266.983333333334</v>
      </c>
      <c r="Q34" s="158">
        <f t="shared" si="16"/>
        <v>11873.210079999999</v>
      </c>
      <c r="R34" s="158">
        <f t="shared" si="16"/>
        <v>17282.32915</v>
      </c>
      <c r="S34" s="158">
        <f>+S28+S29+S30+S31</f>
        <v>20493.857750000003</v>
      </c>
      <c r="T34" s="158">
        <f t="shared" si="16"/>
        <v>49649.39698</v>
      </c>
      <c r="U34" s="159">
        <f t="shared" si="16"/>
        <v>16549.79899333333</v>
      </c>
    </row>
    <row r="35" spans="1:21" s="138" customFormat="1" ht="12.75" hidden="1">
      <c r="A35" s="145"/>
      <c r="B35" s="158">
        <v>10497.66525</v>
      </c>
      <c r="C35" s="158">
        <v>9048.37035</v>
      </c>
      <c r="D35" s="158">
        <v>12449.04459</v>
      </c>
      <c r="E35" s="158">
        <f>+B35+C35+D35</f>
        <v>31995.08019</v>
      </c>
      <c r="F35" s="159">
        <f>+E35/3</f>
        <v>10665.02673</v>
      </c>
      <c r="G35" s="158">
        <v>14847.83389</v>
      </c>
      <c r="H35" s="158">
        <v>16742.12123</v>
      </c>
      <c r="I35" s="158">
        <v>22133.22411</v>
      </c>
      <c r="J35" s="158">
        <f>+G35+H35+I35</f>
        <v>53723.179229999994</v>
      </c>
      <c r="K35" s="159">
        <f>+J35/3</f>
        <v>17907.72641</v>
      </c>
      <c r="L35" s="158">
        <v>9238.69328</v>
      </c>
      <c r="M35" s="158">
        <v>6753.86765</v>
      </c>
      <c r="N35" s="158">
        <v>8808.37859</v>
      </c>
      <c r="O35" s="158">
        <f>+L35+M35+N35</f>
        <v>24800.93952</v>
      </c>
      <c r="P35" s="159">
        <f>+O35/3</f>
        <v>8266.97984</v>
      </c>
      <c r="Q35" s="158">
        <v>11873.21008</v>
      </c>
      <c r="R35" s="158">
        <v>17282.32915</v>
      </c>
      <c r="S35" s="158">
        <v>20493.85775</v>
      </c>
      <c r="T35" s="158">
        <f>+Q35+R35+S35</f>
        <v>49649.396980000005</v>
      </c>
      <c r="U35" s="159">
        <f>+T35/3</f>
        <v>16549.798993333334</v>
      </c>
    </row>
    <row r="36" spans="1:21" s="138" customFormat="1" ht="12.75" hidden="1">
      <c r="A36" s="149"/>
      <c r="B36" s="161"/>
      <c r="C36" s="161"/>
      <c r="D36" s="161"/>
      <c r="E36" s="161"/>
      <c r="F36" s="161">
        <f>+F34-F35</f>
        <v>-184.1600633333328</v>
      </c>
      <c r="G36" s="161"/>
      <c r="H36" s="161"/>
      <c r="I36" s="161"/>
      <c r="J36" s="161"/>
      <c r="K36" s="161">
        <f>+K34-K35</f>
        <v>-259.4676666666637</v>
      </c>
      <c r="L36" s="161"/>
      <c r="M36" s="161"/>
      <c r="N36" s="161"/>
      <c r="O36" s="161"/>
      <c r="P36" s="161">
        <f>+P34-P35</f>
        <v>0.0034933333336084615</v>
      </c>
      <c r="Q36" s="161"/>
      <c r="R36" s="161"/>
      <c r="S36" s="161"/>
      <c r="T36" s="161"/>
      <c r="U36" s="161">
        <f>+U34-U35</f>
        <v>0</v>
      </c>
    </row>
    <row r="37" spans="1:21" s="138" customFormat="1" ht="12.75" hidden="1">
      <c r="A37" s="149"/>
      <c r="B37" s="161"/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</row>
    <row r="38" spans="1:21" s="138" customFormat="1" ht="12.75" hidden="1">
      <c r="A38" s="241" t="s">
        <v>161</v>
      </c>
      <c r="B38" s="243" t="s">
        <v>14</v>
      </c>
      <c r="C38" s="243"/>
      <c r="D38" s="243"/>
      <c r="E38" s="243"/>
      <c r="F38" s="243"/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Q38" s="161"/>
      <c r="R38" s="161"/>
      <c r="S38" s="161"/>
      <c r="T38" s="161"/>
      <c r="U38" s="161"/>
    </row>
    <row r="39" spans="1:21" s="138" customFormat="1" ht="25.5" hidden="1">
      <c r="A39" s="242"/>
      <c r="B39" s="162" t="s">
        <v>162</v>
      </c>
      <c r="C39" s="162" t="s">
        <v>163</v>
      </c>
      <c r="D39" s="162" t="s">
        <v>164</v>
      </c>
      <c r="E39" s="163" t="s">
        <v>165</v>
      </c>
      <c r="F39" s="164" t="s">
        <v>166</v>
      </c>
      <c r="G39" s="161"/>
      <c r="H39" s="161"/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</row>
    <row r="40" spans="1:21" s="138" customFormat="1" ht="12.75" hidden="1">
      <c r="A40" s="142" t="s">
        <v>167</v>
      </c>
      <c r="B40" s="151">
        <f>+B16+G16+L16+Q16+B28+G28+L28+Q28</f>
        <v>24860.48083</v>
      </c>
      <c r="C40" s="151">
        <f aca="true" t="shared" si="17" ref="B40:D43">+C16+H16+M16+R16+C28+H28+M28+R28</f>
        <v>21089.26381</v>
      </c>
      <c r="D40" s="151">
        <f t="shared" si="17"/>
        <v>28885.999150000003</v>
      </c>
      <c r="E40" s="152">
        <f aca="true" t="shared" si="18" ref="E40:E45">+B40+C40+D40</f>
        <v>74835.74379000001</v>
      </c>
      <c r="F40" s="153">
        <f aca="true" t="shared" si="19" ref="F40:F45">+E40/3</f>
        <v>24945.24793</v>
      </c>
      <c r="G40" s="161"/>
      <c r="H40" s="161"/>
      <c r="I40" s="161"/>
      <c r="J40" s="161"/>
      <c r="K40" s="161"/>
      <c r="L40" s="161"/>
      <c r="M40" s="161"/>
      <c r="N40" s="161"/>
      <c r="O40" s="161"/>
      <c r="P40" s="161"/>
      <c r="Q40" s="161"/>
      <c r="R40" s="161"/>
      <c r="S40" s="161"/>
      <c r="T40" s="161"/>
      <c r="U40" s="161"/>
    </row>
    <row r="41" spans="1:21" s="138" customFormat="1" ht="12.75" hidden="1">
      <c r="A41" s="142" t="s">
        <v>168</v>
      </c>
      <c r="B41" s="151">
        <f t="shared" si="17"/>
        <v>13920.571750000001</v>
      </c>
      <c r="C41" s="151">
        <f t="shared" si="17"/>
        <v>11448.39562</v>
      </c>
      <c r="D41" s="151">
        <f t="shared" si="17"/>
        <v>18466.02577</v>
      </c>
      <c r="E41" s="152">
        <f t="shared" si="18"/>
        <v>43834.99314</v>
      </c>
      <c r="F41" s="153">
        <f t="shared" si="19"/>
        <v>14611.66438</v>
      </c>
      <c r="G41" s="161"/>
      <c r="H41" s="161"/>
      <c r="I41" s="161"/>
      <c r="J41" s="161"/>
      <c r="K41" s="161"/>
      <c r="L41" s="161"/>
      <c r="M41" s="161"/>
      <c r="N41" s="161"/>
      <c r="O41" s="161"/>
      <c r="P41" s="161"/>
      <c r="Q41" s="161"/>
      <c r="R41" s="161"/>
      <c r="S41" s="161"/>
      <c r="T41" s="161"/>
      <c r="U41" s="161"/>
    </row>
    <row r="42" spans="1:21" s="138" customFormat="1" ht="12.75" hidden="1">
      <c r="A42" s="142" t="s">
        <v>169</v>
      </c>
      <c r="B42" s="151">
        <f t="shared" si="17"/>
        <v>15992.439019999998</v>
      </c>
      <c r="C42" s="151">
        <f t="shared" si="17"/>
        <v>24027.11109</v>
      </c>
      <c r="D42" s="151">
        <f t="shared" si="17"/>
        <v>18727.80271</v>
      </c>
      <c r="E42" s="152">
        <f t="shared" si="18"/>
        <v>58747.35282</v>
      </c>
      <c r="F42" s="153">
        <f t="shared" si="19"/>
        <v>19582.45094</v>
      </c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1"/>
      <c r="R42" s="161"/>
      <c r="S42" s="161"/>
      <c r="T42" s="161"/>
      <c r="U42" s="161"/>
    </row>
    <row r="43" spans="1:21" s="138" customFormat="1" ht="12.75" hidden="1">
      <c r="A43" s="142" t="s">
        <v>170</v>
      </c>
      <c r="B43" s="151">
        <f t="shared" si="17"/>
        <v>39558.439660000004</v>
      </c>
      <c r="C43" s="151">
        <f t="shared" si="17"/>
        <v>35394.729049999994</v>
      </c>
      <c r="D43" s="151">
        <f t="shared" si="17"/>
        <v>45140.46569999999</v>
      </c>
      <c r="E43" s="152">
        <f t="shared" si="18"/>
        <v>120093.63441</v>
      </c>
      <c r="F43" s="153">
        <f t="shared" si="19"/>
        <v>40031.21147</v>
      </c>
      <c r="G43" s="161"/>
      <c r="H43" s="161"/>
      <c r="I43" s="161"/>
      <c r="J43" s="161"/>
      <c r="K43" s="161"/>
      <c r="L43" s="161"/>
      <c r="M43" s="161"/>
      <c r="N43" s="161"/>
      <c r="O43" s="161"/>
      <c r="P43" s="161"/>
      <c r="Q43" s="161"/>
      <c r="R43" s="161"/>
      <c r="S43" s="161"/>
      <c r="T43" s="161"/>
      <c r="U43" s="161"/>
    </row>
    <row r="44" spans="1:21" s="144" customFormat="1" ht="12.75" hidden="1">
      <c r="A44" s="143" t="s">
        <v>171</v>
      </c>
      <c r="B44" s="154">
        <v>572.1</v>
      </c>
      <c r="C44" s="154">
        <v>543</v>
      </c>
      <c r="D44" s="154">
        <v>750.7</v>
      </c>
      <c r="E44" s="155">
        <f t="shared" si="18"/>
        <v>1865.8</v>
      </c>
      <c r="F44" s="156">
        <f t="shared" si="19"/>
        <v>621.9333333333333</v>
      </c>
      <c r="G44" s="165"/>
      <c r="H44" s="165"/>
      <c r="I44" s="165"/>
      <c r="J44" s="165"/>
      <c r="K44" s="165"/>
      <c r="L44" s="165"/>
      <c r="M44" s="165"/>
      <c r="N44" s="165"/>
      <c r="O44" s="165"/>
      <c r="P44" s="165"/>
      <c r="Q44" s="165"/>
      <c r="R44" s="165"/>
      <c r="S44" s="165"/>
      <c r="T44" s="165"/>
      <c r="U44" s="165"/>
    </row>
    <row r="45" spans="1:21" s="144" customFormat="1" ht="12.75" hidden="1">
      <c r="A45" s="143" t="s">
        <v>170</v>
      </c>
      <c r="B45" s="154">
        <v>2175.2</v>
      </c>
      <c r="C45" s="154">
        <v>4030.4</v>
      </c>
      <c r="D45" s="154">
        <v>6056.1</v>
      </c>
      <c r="E45" s="155">
        <f t="shared" si="18"/>
        <v>12261.7</v>
      </c>
      <c r="F45" s="156">
        <f t="shared" si="19"/>
        <v>4087.2333333333336</v>
      </c>
      <c r="G45" s="165"/>
      <c r="H45" s="165"/>
      <c r="I45" s="165"/>
      <c r="J45" s="165"/>
      <c r="K45" s="165"/>
      <c r="L45" s="165"/>
      <c r="M45" s="165"/>
      <c r="N45" s="165"/>
      <c r="O45" s="165"/>
      <c r="P45" s="165"/>
      <c r="Q45" s="165"/>
      <c r="R45" s="165"/>
      <c r="S45" s="165"/>
      <c r="T45" s="165"/>
      <c r="U45" s="165"/>
    </row>
    <row r="46" spans="1:21" s="138" customFormat="1" ht="12.75" hidden="1">
      <c r="A46" s="145" t="s">
        <v>172</v>
      </c>
      <c r="B46" s="158">
        <f>+B40+B41+B42+B43</f>
        <v>94331.93126000001</v>
      </c>
      <c r="C46" s="158">
        <f>+C40+C41+C42+C43</f>
        <v>91959.49956999999</v>
      </c>
      <c r="D46" s="158">
        <f>+D40+D41+D42+D43</f>
        <v>111220.29332999999</v>
      </c>
      <c r="E46" s="158">
        <f>+E40+E41+E42+E43</f>
        <v>297511.72416</v>
      </c>
      <c r="F46" s="159">
        <f>+F40+F41+F42+F43</f>
        <v>99170.57472</v>
      </c>
      <c r="G46" s="161"/>
      <c r="H46" s="161"/>
      <c r="I46" s="161"/>
      <c r="J46" s="161"/>
      <c r="K46" s="161"/>
      <c r="L46" s="161"/>
      <c r="M46" s="161"/>
      <c r="N46" s="161"/>
      <c r="O46" s="161"/>
      <c r="P46" s="161"/>
      <c r="Q46" s="161"/>
      <c r="R46" s="161"/>
      <c r="S46" s="161"/>
      <c r="T46" s="161"/>
      <c r="U46" s="161"/>
    </row>
    <row r="47" spans="1:21" s="138" customFormat="1" ht="12.75" hidden="1">
      <c r="A47" s="150"/>
      <c r="B47" s="166">
        <f>B23+G23+L23+Q23+B35+G35+L35+Q35</f>
        <v>94080.84236</v>
      </c>
      <c r="C47" s="166">
        <f>C23+H23+M23+R23+C35+H35+M35+R35</f>
        <v>92011.56993</v>
      </c>
      <c r="D47" s="166">
        <f>D23+I23+N23+S23+D35+I35+N35+S35</f>
        <v>114173.58491</v>
      </c>
      <c r="E47" s="166">
        <f>+B47+C47+D47</f>
        <v>300265.9972</v>
      </c>
      <c r="F47" s="166">
        <f>+E47/3</f>
        <v>100088.66573333333</v>
      </c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1"/>
      <c r="R47" s="161"/>
      <c r="S47" s="161"/>
      <c r="T47" s="161"/>
      <c r="U47" s="161"/>
    </row>
    <row r="48" spans="1:21" s="138" customFormat="1" ht="12.75" hidden="1">
      <c r="A48" s="150"/>
      <c r="B48" s="167"/>
      <c r="C48" s="167"/>
      <c r="D48" s="167"/>
      <c r="E48" s="167"/>
      <c r="F48" s="167"/>
      <c r="G48" s="161"/>
      <c r="H48" s="161"/>
      <c r="I48" s="161"/>
      <c r="J48" s="161"/>
      <c r="K48" s="161"/>
      <c r="L48" s="161"/>
      <c r="M48" s="161"/>
      <c r="N48" s="161"/>
      <c r="O48" s="161"/>
      <c r="P48" s="161"/>
      <c r="Q48" s="161"/>
      <c r="R48" s="161"/>
      <c r="S48" s="161"/>
      <c r="T48" s="161"/>
      <c r="U48" s="161"/>
    </row>
    <row r="49" spans="1:21" s="138" customFormat="1" ht="12.75" hidden="1">
      <c r="A49" s="149"/>
      <c r="B49" s="161"/>
      <c r="C49" s="161"/>
      <c r="D49" s="161"/>
      <c r="E49" s="161"/>
      <c r="F49" s="161">
        <f>+F46-F47</f>
        <v>-918.0910133333236</v>
      </c>
      <c r="G49" s="161"/>
      <c r="H49" s="161"/>
      <c r="I49" s="161"/>
      <c r="J49" s="161"/>
      <c r="K49" s="161"/>
      <c r="L49" s="161"/>
      <c r="M49" s="161"/>
      <c r="N49" s="161"/>
      <c r="O49" s="161"/>
      <c r="P49" s="161"/>
      <c r="Q49" s="161"/>
      <c r="R49" s="161"/>
      <c r="S49" s="161"/>
      <c r="T49" s="161"/>
      <c r="U49" s="161"/>
    </row>
    <row r="50" s="105" customFormat="1" ht="15.75" hidden="1">
      <c r="A50" s="137"/>
    </row>
    <row r="51" ht="12.75" hidden="1"/>
  </sheetData>
  <sheetProtection/>
  <mergeCells count="15">
    <mergeCell ref="A2:G2"/>
    <mergeCell ref="A12:U12"/>
    <mergeCell ref="A13:E13"/>
    <mergeCell ref="A14:A15"/>
    <mergeCell ref="B14:F14"/>
    <mergeCell ref="G14:K14"/>
    <mergeCell ref="L14:P14"/>
    <mergeCell ref="Q14:U14"/>
    <mergeCell ref="A26:A27"/>
    <mergeCell ref="B26:F26"/>
    <mergeCell ref="G26:K26"/>
    <mergeCell ref="L26:P26"/>
    <mergeCell ref="Q26:U26"/>
    <mergeCell ref="A38:A39"/>
    <mergeCell ref="B38:F3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T1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25" sqref="E25"/>
    </sheetView>
  </sheetViews>
  <sheetFormatPr defaultColWidth="9.00390625" defaultRowHeight="12.75"/>
  <cols>
    <col min="1" max="1" width="5.625" style="0" customWidth="1"/>
    <col min="2" max="2" width="30.00390625" style="0" customWidth="1"/>
    <col min="3" max="3" width="10.625" style="0" customWidth="1"/>
    <col min="4" max="4" width="11.125" style="0" bestFit="1" customWidth="1"/>
    <col min="5" max="5" width="13.75390625" style="22" customWidth="1"/>
    <col min="6" max="6" width="10.375" style="0" customWidth="1"/>
    <col min="7" max="7" width="11.25390625" style="0" bestFit="1" customWidth="1"/>
    <col min="8" max="8" width="11.125" style="0" bestFit="1" customWidth="1"/>
    <col min="9" max="9" width="12.25390625" style="22" customWidth="1"/>
    <col min="10" max="12" width="12.875" style="0" customWidth="1"/>
    <col min="13" max="13" width="12.875" style="29" customWidth="1"/>
    <col min="14" max="14" width="10.875" style="0" customWidth="1"/>
    <col min="17" max="17" width="9.125" style="29" customWidth="1"/>
    <col min="18" max="18" width="13.00390625" style="22" customWidth="1"/>
    <col min="20" max="20" width="9.125" style="16" customWidth="1"/>
  </cols>
  <sheetData>
    <row r="1" ht="12.75">
      <c r="N1" t="s">
        <v>186</v>
      </c>
    </row>
    <row r="2" spans="1:18" ht="66.75" customHeight="1">
      <c r="A2" s="248" t="s">
        <v>157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</row>
    <row r="4" spans="1:18" ht="38.25" customHeight="1">
      <c r="A4" s="250" t="s">
        <v>0</v>
      </c>
      <c r="B4" s="250" t="s">
        <v>1</v>
      </c>
      <c r="C4" s="252" t="s">
        <v>65</v>
      </c>
      <c r="D4" s="253"/>
      <c r="E4" s="254"/>
      <c r="F4" s="253" t="s">
        <v>71</v>
      </c>
      <c r="G4" s="253"/>
      <c r="H4" s="253"/>
      <c r="I4" s="254"/>
      <c r="J4" s="253" t="s">
        <v>66</v>
      </c>
      <c r="K4" s="253"/>
      <c r="L4" s="253"/>
      <c r="M4" s="254"/>
      <c r="N4" s="255" t="s">
        <v>75</v>
      </c>
      <c r="O4" s="255"/>
      <c r="P4" s="255"/>
      <c r="Q4" s="255"/>
      <c r="R4" s="249" t="s">
        <v>76</v>
      </c>
    </row>
    <row r="5" spans="1:20" ht="62.25" customHeight="1">
      <c r="A5" s="251"/>
      <c r="B5" s="251"/>
      <c r="C5" s="15" t="s">
        <v>74</v>
      </c>
      <c r="D5" s="15" t="s">
        <v>67</v>
      </c>
      <c r="E5" s="47" t="s">
        <v>173</v>
      </c>
      <c r="F5" s="25" t="s">
        <v>74</v>
      </c>
      <c r="G5" s="36" t="s">
        <v>69</v>
      </c>
      <c r="H5" s="25" t="s">
        <v>67</v>
      </c>
      <c r="I5" s="45" t="s">
        <v>174</v>
      </c>
      <c r="J5" s="25" t="s">
        <v>74</v>
      </c>
      <c r="K5" s="36" t="s">
        <v>69</v>
      </c>
      <c r="L5" s="25" t="s">
        <v>67</v>
      </c>
      <c r="M5" s="42" t="s">
        <v>175</v>
      </c>
      <c r="N5" s="25" t="s">
        <v>74</v>
      </c>
      <c r="O5" s="36" t="s">
        <v>69</v>
      </c>
      <c r="P5" s="25" t="s">
        <v>67</v>
      </c>
      <c r="Q5" s="42" t="s">
        <v>176</v>
      </c>
      <c r="R5" s="249"/>
      <c r="T5" s="31"/>
    </row>
    <row r="6" spans="1:18" ht="12.75">
      <c r="A6" s="20">
        <v>1</v>
      </c>
      <c r="B6" s="20">
        <v>2</v>
      </c>
      <c r="C6" s="14">
        <v>3</v>
      </c>
      <c r="D6" s="14">
        <v>4</v>
      </c>
      <c r="E6" s="24">
        <v>5</v>
      </c>
      <c r="F6" s="37">
        <v>6</v>
      </c>
      <c r="G6" s="37">
        <v>7</v>
      </c>
      <c r="H6" s="37">
        <v>8</v>
      </c>
      <c r="I6" s="24">
        <v>9</v>
      </c>
      <c r="J6" s="37">
        <v>10</v>
      </c>
      <c r="K6" s="37">
        <v>12</v>
      </c>
      <c r="L6" s="37">
        <v>13</v>
      </c>
      <c r="M6" s="43">
        <v>14</v>
      </c>
      <c r="N6" s="37">
        <v>15</v>
      </c>
      <c r="O6" s="37">
        <v>16</v>
      </c>
      <c r="P6" s="37">
        <v>17</v>
      </c>
      <c r="Q6" s="43">
        <v>18</v>
      </c>
      <c r="R6" s="24">
        <v>19</v>
      </c>
    </row>
    <row r="7" spans="1:18" ht="12.75">
      <c r="A7" s="3">
        <v>1</v>
      </c>
      <c r="B7" s="87" t="s">
        <v>134</v>
      </c>
      <c r="C7" s="96">
        <f>+'Коэф.масшт.'!C5</f>
        <v>6514</v>
      </c>
      <c r="D7" s="6">
        <f>+'Коэф.масшт.'!D5</f>
        <v>0.8534310715382254</v>
      </c>
      <c r="E7" s="52">
        <f>((C7*D7/C7)/(C15*D15/C15))*'Расчет доли '!G5/100</f>
        <v>0.33026312695295246</v>
      </c>
      <c r="F7" s="96">
        <f>'Коэф.масшт.'!C5</f>
        <v>6514</v>
      </c>
      <c r="G7" s="28">
        <f>+'Коэф.дисп'!D5</f>
        <v>1.0756831439975438</v>
      </c>
      <c r="H7" s="6">
        <f>+'Коэф.масшт.'!D5</f>
        <v>0.8534310715382254</v>
      </c>
      <c r="I7" s="52">
        <f>((F7*G7*H7/F7)/(F15*G15*H15/F15))*19.7/100</f>
        <v>0.23387449913777097</v>
      </c>
      <c r="J7" s="96">
        <f>'Коэф.масшт.'!C5</f>
        <v>6514</v>
      </c>
      <c r="K7" s="28">
        <f>+G7</f>
        <v>1.0756831439975438</v>
      </c>
      <c r="L7" s="6">
        <f>+'Коэф.масшт.'!D5</f>
        <v>0.8534310715382254</v>
      </c>
      <c r="M7" s="52">
        <f>(J7*K7*L7/J7)/(J15*K15*L15/J15)*'Расчет доли '!G6/100</f>
        <v>0.1749175969838679</v>
      </c>
      <c r="N7" s="99">
        <f>'Коэф.масшт.'!C5</f>
        <v>6514</v>
      </c>
      <c r="O7" s="28">
        <f>+G7</f>
        <v>1.0756831439975438</v>
      </c>
      <c r="P7" s="6">
        <f>'Коэф.масшт.'!D5</f>
        <v>0.8534310715382254</v>
      </c>
      <c r="Q7" s="52">
        <f>(O7*P7)/(O15*P15)*'Расчет доли '!G8/100</f>
        <v>0.4792173658375152</v>
      </c>
      <c r="R7" s="52">
        <f>+E7+I7+M7+Q7</f>
        <v>1.2182725889121064</v>
      </c>
    </row>
    <row r="8" spans="1:18" ht="12.75">
      <c r="A8" s="3">
        <v>2</v>
      </c>
      <c r="B8" s="87" t="s">
        <v>135</v>
      </c>
      <c r="C8" s="96">
        <f>+'Коэф.масшт.'!C6</f>
        <v>5840</v>
      </c>
      <c r="D8" s="6">
        <f>+'Коэф.масшт.'!D6</f>
        <v>0.882679794520548</v>
      </c>
      <c r="E8" s="52">
        <f>((C8*D8/C8)/(C15*D15/C15))*'Расчет доли '!G5/100</f>
        <v>0.34158187902757725</v>
      </c>
      <c r="F8" s="96">
        <f>'Коэф.масшт.'!C6</f>
        <v>5840</v>
      </c>
      <c r="G8" s="28">
        <f>+'Коэф.дисп'!D7</f>
        <v>1.0414383561643836</v>
      </c>
      <c r="H8" s="6">
        <f>+'Коэф.масшт.'!D6</f>
        <v>0.882679794520548</v>
      </c>
      <c r="I8" s="52">
        <f>((F8*G8*H8/F8)/(F15*G15*H15/F15))*'Расчет доли '!G7/100</f>
        <v>0.23473875751475934</v>
      </c>
      <c r="J8" s="96">
        <f>'Коэф.масшт.'!C6</f>
        <v>5840</v>
      </c>
      <c r="K8" s="28">
        <f aca="true" t="shared" si="0" ref="K8:K15">+G8</f>
        <v>1.0414383561643836</v>
      </c>
      <c r="L8" s="6">
        <f>+'Коэф.масшт.'!D6</f>
        <v>0.882679794520548</v>
      </c>
      <c r="M8" s="52">
        <f>(J8*K8*L8/J8)/(J15*K15*L15/J15)*'Расчет доли '!G6/100</f>
        <v>0.17515294445486135</v>
      </c>
      <c r="N8" s="99">
        <f>'Коэф.масшт.'!C6</f>
        <v>5840</v>
      </c>
      <c r="O8" s="28">
        <f aca="true" t="shared" si="1" ref="O8:O15">+G8</f>
        <v>1.0414383561643836</v>
      </c>
      <c r="P8" s="6">
        <f>'Коэф.масшт.'!D6</f>
        <v>0.882679794520548</v>
      </c>
      <c r="Q8" s="52">
        <f>(O8*P8)/(O15*P15)*'Расчет доли '!G8/100</f>
        <v>0.4798621414178498</v>
      </c>
      <c r="R8" s="52">
        <f aca="true" t="shared" si="2" ref="R8:R14">+E8+I8+M8+Q8</f>
        <v>1.2313357224150479</v>
      </c>
    </row>
    <row r="9" spans="1:18" ht="12.75">
      <c r="A9" s="3">
        <v>3</v>
      </c>
      <c r="B9" s="87" t="s">
        <v>136</v>
      </c>
      <c r="C9" s="96">
        <f>+'Коэф.масшт.'!C7</f>
        <v>4177</v>
      </c>
      <c r="D9" s="6">
        <f>+'Коэф.масшт.'!D7</f>
        <v>0.9952238448647355</v>
      </c>
      <c r="E9" s="52">
        <f>((C9*D9/C9)/(C15*D15/C15))*'Расчет доли '!G5/100</f>
        <v>0.38513448828473507</v>
      </c>
      <c r="F9" s="96">
        <f>'Коэф.масшт.'!C7</f>
        <v>4177</v>
      </c>
      <c r="G9" s="28">
        <f>+'Коэф.дисп'!D9</f>
        <v>1.3785013167344984</v>
      </c>
      <c r="H9" s="6">
        <f>+'Коэф.масшт.'!D7</f>
        <v>0.9952238448647355</v>
      </c>
      <c r="I9" s="52">
        <f>((F9*G9*H9/F9)/(F15*G15*H15/F15))*'Расчет доли '!G7/100</f>
        <v>0.35032893248319186</v>
      </c>
      <c r="J9" s="96">
        <f>'Коэф.масшт.'!C7</f>
        <v>4177</v>
      </c>
      <c r="K9" s="28">
        <f t="shared" si="0"/>
        <v>1.3785013167344984</v>
      </c>
      <c r="L9" s="6">
        <f>+'Коэф.масшт.'!D7</f>
        <v>0.9952238448647355</v>
      </c>
      <c r="M9" s="52">
        <f>(J9*K9*L9/J9)/(J15*K15*L15/J15)*'Расчет доли '!G6/100</f>
        <v>0.26140184391280696</v>
      </c>
      <c r="N9" s="99">
        <f>'Коэф.масшт.'!C7</f>
        <v>4177</v>
      </c>
      <c r="O9" s="28">
        <f t="shared" si="1"/>
        <v>1.3785013167344984</v>
      </c>
      <c r="P9" s="6">
        <f>'Коэф.масшт.'!D7</f>
        <v>0.9952238448647355</v>
      </c>
      <c r="Q9" s="52">
        <f>(O9*P9)/(O15*P15)*'Расчет доли '!G8/100</f>
        <v>0.7161560942122809</v>
      </c>
      <c r="R9" s="52">
        <f t="shared" si="2"/>
        <v>1.7130213588930148</v>
      </c>
    </row>
    <row r="10" spans="1:18" ht="12.75">
      <c r="A10" s="3">
        <v>4</v>
      </c>
      <c r="B10" s="87" t="s">
        <v>137</v>
      </c>
      <c r="C10" s="96">
        <f>+'Коэф.масшт.'!C8</f>
        <v>1669</v>
      </c>
      <c r="D10" s="6">
        <f>+'Коэф.масшт.'!D8</f>
        <v>1.5891252246854404</v>
      </c>
      <c r="E10" s="52">
        <f>((C10*D10/C10)/(C15*D15/C15))*'Расчет доли '!G5/100</f>
        <v>0.6149640941458498</v>
      </c>
      <c r="F10" s="96">
        <f>'Коэф.масшт.'!C8</f>
        <v>1669</v>
      </c>
      <c r="G10" s="28">
        <f>+'Коэф.дисп'!D11</f>
        <v>1.5248651887357698</v>
      </c>
      <c r="H10" s="6">
        <f>+'Коэф.масшт.'!D8</f>
        <v>1.5891252246854404</v>
      </c>
      <c r="I10" s="52">
        <f>((F10*G10*H10/F10)/(F15*G15*H15/F15))*'Расчет доли '!G7/100</f>
        <v>0.61878192466719</v>
      </c>
      <c r="J10" s="96">
        <f>'Коэф.масшт.'!C8</f>
        <v>1669</v>
      </c>
      <c r="K10" s="28">
        <f t="shared" si="0"/>
        <v>1.5248651887357698</v>
      </c>
      <c r="L10" s="6">
        <f>+'Коэф.масшт.'!D8</f>
        <v>1.5891252246854404</v>
      </c>
      <c r="M10" s="52">
        <f>(J10*K10*L10/J10)/(J15*K15*L15/J15)*'Расчет доли '!G6/100</f>
        <v>0.4617110409391596</v>
      </c>
      <c r="N10" s="99">
        <f>'Коэф.масшт.'!C8</f>
        <v>1669</v>
      </c>
      <c r="O10" s="28">
        <f t="shared" si="1"/>
        <v>1.5248651887357698</v>
      </c>
      <c r="P10" s="6">
        <f>'Коэф.масшт.'!D8</f>
        <v>1.5891252246854404</v>
      </c>
      <c r="Q10" s="52">
        <f>(O10*P10)/(O15*P15)*'Расчет доли '!G8/100</f>
        <v>1.264938191652423</v>
      </c>
      <c r="R10" s="52">
        <f t="shared" si="2"/>
        <v>2.9603952514046226</v>
      </c>
    </row>
    <row r="11" spans="1:18" ht="12.75">
      <c r="A11" s="3">
        <v>5</v>
      </c>
      <c r="B11" s="87" t="s">
        <v>138</v>
      </c>
      <c r="C11" s="96">
        <f>+'Коэф.масшт.'!C9</f>
        <v>4182</v>
      </c>
      <c r="D11" s="6">
        <f>+'Коэф.масшт.'!D9</f>
        <v>0.9947513151602104</v>
      </c>
      <c r="E11" s="52">
        <f>((C11*D11/C11)/(C15*D15/C15))*'Расчет доли '!G5/100</f>
        <v>0.3849516274269586</v>
      </c>
      <c r="F11" s="96">
        <f>'Коэф.масшт.'!C9</f>
        <v>4182</v>
      </c>
      <c r="G11" s="28">
        <f>+'Коэф.дисп'!D13</f>
        <v>1.1410808225729316</v>
      </c>
      <c r="H11" s="6">
        <f>+'Коэф.масшт.'!D9</f>
        <v>0.9947513151602104</v>
      </c>
      <c r="I11" s="52">
        <f>((F11*G11*H11/F11)/(F15*G15*H15/F15))*'Расчет доли '!G7/100</f>
        <v>0.2898537851300811</v>
      </c>
      <c r="J11" s="96">
        <f>'Коэф.масшт.'!C9</f>
        <v>4182</v>
      </c>
      <c r="K11" s="28">
        <f t="shared" si="0"/>
        <v>1.1410808225729316</v>
      </c>
      <c r="L11" s="6">
        <f>+'Коэф.масшт.'!D9</f>
        <v>0.9947513151602104</v>
      </c>
      <c r="M11" s="52">
        <f>(J11*K11*L11/J11)/(J15*K15*L15/J15)*'Расчет доли '!G6/100</f>
        <v>0.2162776375934779</v>
      </c>
      <c r="N11" s="99">
        <f>'Коэф.масшт.'!C9</f>
        <v>4182</v>
      </c>
      <c r="O11" s="28">
        <f t="shared" si="1"/>
        <v>1.1410808225729316</v>
      </c>
      <c r="P11" s="6">
        <f>'Коэф.масшт.'!D9</f>
        <v>0.9947513151602104</v>
      </c>
      <c r="Q11" s="52">
        <f>(O11*P11)/(O15*P15)*'Расчет доли '!G8/100</f>
        <v>0.5925304346975794</v>
      </c>
      <c r="R11" s="52">
        <f t="shared" si="2"/>
        <v>1.4836134848480969</v>
      </c>
    </row>
    <row r="12" spans="1:18" ht="12.75">
      <c r="A12" s="3">
        <v>6</v>
      </c>
      <c r="B12" s="87" t="s">
        <v>139</v>
      </c>
      <c r="C12" s="96">
        <f>+'Коэф.масшт.'!C10</f>
        <v>4840</v>
      </c>
      <c r="D12" s="6">
        <f>+'Коэф.масшт.'!D10</f>
        <v>0.9410847107438017</v>
      </c>
      <c r="E12" s="52">
        <f>((C12*D12/C12)/(C15*D15/C15))*'Расчет доли '!G5/100</f>
        <v>0.36418357576044924</v>
      </c>
      <c r="F12" s="96">
        <f>'Коэф.масшт.'!C10</f>
        <v>4840</v>
      </c>
      <c r="G12" s="28">
        <f>+'Коэф.дисп'!D15</f>
        <v>1.3508264462809918</v>
      </c>
      <c r="H12" s="6">
        <f>+'Коэф.масшт.'!D10</f>
        <v>0.9410847107438017</v>
      </c>
      <c r="I12" s="52">
        <f>((F12*G12*H12/F12)/(F15*G15*H15/F15))*'Расчет доли '!G7/100</f>
        <v>0.32462078222664387</v>
      </c>
      <c r="J12" s="96">
        <f>'Коэф.масшт.'!C10</f>
        <v>4840</v>
      </c>
      <c r="K12" s="28">
        <f t="shared" si="0"/>
        <v>1.3508264462809918</v>
      </c>
      <c r="L12" s="6">
        <f>+'Коэф.масшт.'!D10</f>
        <v>0.9410847107438017</v>
      </c>
      <c r="M12" s="52">
        <f>(J12*K12*L12/J12)/(J15*K15*L15/J15)*'Расчет доли '!G6/100</f>
        <v>0.2422194206027609</v>
      </c>
      <c r="N12" s="99">
        <f>'Коэф.масшт.'!C10</f>
        <v>4840</v>
      </c>
      <c r="O12" s="28">
        <f t="shared" si="1"/>
        <v>1.3508264462809918</v>
      </c>
      <c r="P12" s="6">
        <f>'Коэф.масшт.'!D10</f>
        <v>0.9410847107438017</v>
      </c>
      <c r="Q12" s="52">
        <f>(O12*P12)/(O15*P15)*'Расчет доли '!G8/100</f>
        <v>0.6636024888144876</v>
      </c>
      <c r="R12" s="52">
        <f t="shared" si="2"/>
        <v>1.5946262674043417</v>
      </c>
    </row>
    <row r="13" spans="1:18" ht="25.5">
      <c r="A13" s="3">
        <v>7</v>
      </c>
      <c r="B13" s="87" t="s">
        <v>140</v>
      </c>
      <c r="C13" s="96">
        <f>+'Коэф.масшт.'!C11</f>
        <v>2271</v>
      </c>
      <c r="D13" s="6">
        <f>+'Коэф.масшт.'!D11</f>
        <v>1.3269264641127256</v>
      </c>
      <c r="E13" s="52">
        <f>((C13*D13/C13)/(C15*D15/C15))*'Расчет доли '!G5/100</f>
        <v>0.5134976893735755</v>
      </c>
      <c r="F13" s="96">
        <f>'Коэф.масшт.'!C11</f>
        <v>2271</v>
      </c>
      <c r="G13" s="28">
        <f>+'Коэф.дисп'!D17</f>
        <v>1.0748568912373404</v>
      </c>
      <c r="H13" s="6">
        <f>+'Коэф.масшт.'!D11</f>
        <v>1.3269264641127256</v>
      </c>
      <c r="I13" s="52">
        <f>((F13*G13*H13/F13)/(F15*G15*H15/F15))*'Расчет доли '!G7/100</f>
        <v>0.3642047020870512</v>
      </c>
      <c r="J13" s="96">
        <f>'Коэф.масшт.'!C11</f>
        <v>2271</v>
      </c>
      <c r="K13" s="28">
        <f t="shared" si="0"/>
        <v>1.0748568912373404</v>
      </c>
      <c r="L13" s="6">
        <f>+'Коэф.масшт.'!D11</f>
        <v>1.3269264641127256</v>
      </c>
      <c r="M13" s="52">
        <f>(J13*K13*L13/J13)/(J15*K15*L15/J15)*'Расчет доли '!G6/100</f>
        <v>0.271755404306601</v>
      </c>
      <c r="N13" s="99">
        <f>'Коэф.масшт.'!C11</f>
        <v>2271</v>
      </c>
      <c r="O13" s="28">
        <f t="shared" si="1"/>
        <v>1.0748568912373404</v>
      </c>
      <c r="P13" s="6">
        <f>'Коэф.масшт.'!D11</f>
        <v>1.3269264641127256</v>
      </c>
      <c r="Q13" s="52">
        <f>(O13*P13)/(O15*P15)*'Расчет доли '!G8/100</f>
        <v>0.744521484684751</v>
      </c>
      <c r="R13" s="52">
        <f t="shared" si="2"/>
        <v>1.8939792804519788</v>
      </c>
    </row>
    <row r="14" spans="1:18" ht="12.75">
      <c r="A14" s="3">
        <v>8</v>
      </c>
      <c r="B14" s="87" t="s">
        <v>141</v>
      </c>
      <c r="C14" s="96">
        <f>+'Коэф.масшт.'!C12</f>
        <v>3524</v>
      </c>
      <c r="D14" s="6">
        <f>+'Коэф.масшт.'!D12</f>
        <v>1.0684591373439274</v>
      </c>
      <c r="E14" s="52">
        <f>((C14*D14/C14)/(C15*D15/C15))*'Расчет доли '!G5/100</f>
        <v>0.4134752852209158</v>
      </c>
      <c r="F14" s="96">
        <f>'Коэф.масшт.'!C12</f>
        <v>3524</v>
      </c>
      <c r="G14" s="28">
        <f>+'Коэф.дисп'!D19</f>
        <v>1.17366628830874</v>
      </c>
      <c r="H14" s="6">
        <f>+'Коэф.масшт.'!D12</f>
        <v>1.0684591373439274</v>
      </c>
      <c r="I14" s="52">
        <f>((F14*G14*H14/F14)/(F15*G15*H15/F15))*'Расчет доли '!G7/100</f>
        <v>0.32022157951064867</v>
      </c>
      <c r="J14" s="96">
        <f>'Коэф.масшт.'!C12</f>
        <v>3524</v>
      </c>
      <c r="K14" s="28">
        <f t="shared" si="0"/>
        <v>1.17366628830874</v>
      </c>
      <c r="L14" s="6">
        <f>+'Коэф.масшт.'!D12</f>
        <v>1.0684591373439274</v>
      </c>
      <c r="M14" s="52">
        <f>(J14*K14*L14/J14)/(J15*K15*L15/J15)*'Расчет доли '!G6/100</f>
        <v>0.23893690638517612</v>
      </c>
      <c r="N14" s="99">
        <f>'Коэф.масшт.'!C12</f>
        <v>3524</v>
      </c>
      <c r="O14" s="28">
        <f t="shared" si="1"/>
        <v>1.17366628830874</v>
      </c>
      <c r="P14" s="6">
        <f>'Коэф.масшт.'!D12</f>
        <v>1.0684591373439274</v>
      </c>
      <c r="Q14" s="52">
        <f>(O14*P14)/(O15*P15)*'Расчет доли '!G8/100</f>
        <v>0.6546094667069391</v>
      </c>
      <c r="R14" s="52">
        <f t="shared" si="2"/>
        <v>1.6272432378236796</v>
      </c>
    </row>
    <row r="15" spans="1:20" s="22" customFormat="1" ht="19.5" customHeight="1">
      <c r="A15" s="7"/>
      <c r="B15" s="9" t="s">
        <v>68</v>
      </c>
      <c r="C15" s="98">
        <f>SUM(C7:C14)</f>
        <v>33017</v>
      </c>
      <c r="D15" s="13">
        <f>+'Коэф.масшт.'!D13</f>
        <v>0.65</v>
      </c>
      <c r="E15" s="52">
        <f>((C15*D15/C15)/(C15*D15/C15))*'Расчет доли '!G5/100</f>
        <v>0.2515388057438496</v>
      </c>
      <c r="F15" s="97">
        <f>SUM(F7:F14)</f>
        <v>33017</v>
      </c>
      <c r="G15" s="28">
        <f>+'Коэф.дисп'!D90</f>
        <v>1.1896598721870553</v>
      </c>
      <c r="H15" s="13">
        <f>+'Коэф.масшт.'!D13</f>
        <v>0.65</v>
      </c>
      <c r="I15" s="52">
        <f>((F15*G15*H15/F15)/(F15*G15*H15/F15))*'Расчет доли '!G7/100</f>
        <v>0.19746231173197742</v>
      </c>
      <c r="J15" s="97">
        <f>SUM(J7:J14)</f>
        <v>33017</v>
      </c>
      <c r="K15" s="38">
        <f t="shared" si="0"/>
        <v>1.1896598721870553</v>
      </c>
      <c r="L15" s="6">
        <f>+'Коэф.масшт.'!D13</f>
        <v>0.65</v>
      </c>
      <c r="M15" s="52">
        <f>(J15*K15*L15/J15)/(J15*K15*L15/J15)*'Расчет доли '!G6/100</f>
        <v>0.14733870829381437</v>
      </c>
      <c r="N15" s="97">
        <f>SUM(N7:N14)</f>
        <v>33017</v>
      </c>
      <c r="O15" s="38">
        <f t="shared" si="1"/>
        <v>1.1896598721870553</v>
      </c>
      <c r="P15" s="13">
        <f>'Коэф.масшт.'!D13</f>
        <v>0.65</v>
      </c>
      <c r="Q15" s="52">
        <f>(O15*P15)/(O15*P15)*'Расчет доли '!G8/100</f>
        <v>0.40366017423035866</v>
      </c>
      <c r="R15" s="52">
        <f>+E15+I15+M15+Q15</f>
        <v>1</v>
      </c>
      <c r="T15" s="21"/>
    </row>
    <row r="16" spans="2:17" ht="12.75">
      <c r="B16" s="1"/>
      <c r="C16" s="1"/>
      <c r="D16" s="1"/>
      <c r="E16" s="48"/>
      <c r="F16" s="40"/>
      <c r="G16" s="40"/>
      <c r="H16" s="40"/>
      <c r="I16" s="46"/>
      <c r="J16" s="41"/>
      <c r="K16" s="41"/>
      <c r="L16" s="41"/>
      <c r="M16" s="44"/>
      <c r="N16" s="33"/>
      <c r="O16" s="33"/>
      <c r="P16" s="33"/>
      <c r="Q16" s="44"/>
    </row>
    <row r="17" spans="2:4" ht="12.75">
      <c r="B17" s="240"/>
      <c r="C17" s="240"/>
      <c r="D17" s="240"/>
    </row>
  </sheetData>
  <sheetProtection/>
  <mergeCells count="9">
    <mergeCell ref="A2:R2"/>
    <mergeCell ref="B17:D17"/>
    <mergeCell ref="R4:R5"/>
    <mergeCell ref="A4:A5"/>
    <mergeCell ref="B4:B5"/>
    <mergeCell ref="C4:E4"/>
    <mergeCell ref="F4:I4"/>
    <mergeCell ref="J4:M4"/>
    <mergeCell ref="N4:Q4"/>
  </mergeCells>
  <printOptions/>
  <pageMargins left="0.7480314960629921" right="0.7480314960629921" top="1.1811023622047245" bottom="0.3937007874015748" header="0.5118110236220472" footer="0.5118110236220472"/>
  <pageSetup fitToHeight="0" fitToWidth="1" horizontalDpi="600" verticalDpi="600" orientation="landscape" paperSize="9" scale="60" r:id="rId1"/>
  <colBreaks count="1" manualBreakCount="1">
    <brk id="18" max="20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zoomScalePageLayoutView="0" workbookViewId="0" topLeftCell="A1">
      <selection activeCell="A16" sqref="A16:IV16"/>
    </sheetView>
  </sheetViews>
  <sheetFormatPr defaultColWidth="9.00390625" defaultRowHeight="12.75"/>
  <cols>
    <col min="1" max="1" width="33.875" style="33" customWidth="1"/>
    <col min="2" max="2" width="12.875" style="33" customWidth="1"/>
    <col min="3" max="3" width="12.875" style="76" customWidth="1"/>
    <col min="4" max="4" width="12.875" style="44" customWidth="1"/>
    <col min="5" max="5" width="12.875" style="33" customWidth="1"/>
    <col min="6" max="6" width="12.875" style="76" customWidth="1"/>
    <col min="7" max="7" width="12.875" style="44" customWidth="1"/>
    <col min="8" max="10" width="12.875" style="33" customWidth="1"/>
    <col min="11" max="11" width="0" style="33" hidden="1" customWidth="1"/>
    <col min="12" max="12" width="9.125" style="33" customWidth="1"/>
  </cols>
  <sheetData>
    <row r="1" ht="18" customHeight="1">
      <c r="I1" s="33" t="s">
        <v>187</v>
      </c>
    </row>
    <row r="2" spans="1:12" ht="60" customHeight="1">
      <c r="A2" s="256" t="s">
        <v>156</v>
      </c>
      <c r="B2" s="256"/>
      <c r="C2" s="256"/>
      <c r="D2" s="256"/>
      <c r="E2" s="256"/>
      <c r="F2" s="256"/>
      <c r="G2" s="256"/>
      <c r="H2" s="256"/>
      <c r="I2" s="256"/>
      <c r="J2" s="256"/>
      <c r="K2" s="78"/>
      <c r="L2" s="78"/>
    </row>
    <row r="3" spans="2:13" ht="32.25" customHeight="1">
      <c r="B3" s="257" t="s">
        <v>107</v>
      </c>
      <c r="C3" s="257"/>
      <c r="D3" s="257"/>
      <c r="E3" s="259" t="s">
        <v>109</v>
      </c>
      <c r="F3" s="260"/>
      <c r="G3" s="261"/>
      <c r="H3" s="257" t="s">
        <v>103</v>
      </c>
      <c r="I3" s="257"/>
      <c r="J3" s="257"/>
      <c r="K3" s="79"/>
      <c r="L3" s="79"/>
      <c r="M3" s="61"/>
    </row>
    <row r="4" spans="1:12" ht="121.5" customHeight="1">
      <c r="A4" s="69" t="s">
        <v>1</v>
      </c>
      <c r="B4" s="70" t="s">
        <v>80</v>
      </c>
      <c r="C4" s="71" t="s">
        <v>81</v>
      </c>
      <c r="D4" s="72" t="s">
        <v>82</v>
      </c>
      <c r="E4" s="70" t="s">
        <v>80</v>
      </c>
      <c r="F4" s="71" t="s">
        <v>81</v>
      </c>
      <c r="G4" s="72" t="s">
        <v>110</v>
      </c>
      <c r="H4" s="25" t="s">
        <v>80</v>
      </c>
      <c r="I4" s="73" t="s">
        <v>81</v>
      </c>
      <c r="J4" s="74" t="s">
        <v>82</v>
      </c>
      <c r="K4" s="84" t="s">
        <v>120</v>
      </c>
      <c r="L4" s="83"/>
    </row>
    <row r="5" spans="1:12" ht="12.75">
      <c r="A5" s="37">
        <v>1</v>
      </c>
      <c r="B5" s="37">
        <v>2</v>
      </c>
      <c r="C5" s="64">
        <v>3</v>
      </c>
      <c r="D5" s="75">
        <v>4</v>
      </c>
      <c r="E5" s="37"/>
      <c r="F5" s="64"/>
      <c r="G5" s="75"/>
      <c r="H5" s="4"/>
      <c r="I5" s="4"/>
      <c r="J5" s="4"/>
      <c r="K5" s="80"/>
      <c r="L5" s="80"/>
    </row>
    <row r="6" spans="1:13" ht="16.5" customHeight="1">
      <c r="A6" s="87" t="s">
        <v>134</v>
      </c>
      <c r="B6" s="133">
        <f>ИДП!D5</f>
        <v>0.9948507720604309</v>
      </c>
      <c r="C6" s="133">
        <f>+ИБР!R7</f>
        <v>1.2182725889121064</v>
      </c>
      <c r="D6" s="67">
        <f>B6/C6</f>
        <v>0.8166076961058553</v>
      </c>
      <c r="E6" s="133">
        <f>ИДП!G5</f>
        <v>0.9817776873453119</v>
      </c>
      <c r="F6" s="133">
        <f>ИБР!R7</f>
        <v>1.2182725889121064</v>
      </c>
      <c r="G6" s="67">
        <f>E6/F6</f>
        <v>0.8058768589893499</v>
      </c>
      <c r="H6" s="133">
        <f>ИДП!J5</f>
        <v>0.9514764501105694</v>
      </c>
      <c r="I6" s="133">
        <f>ИБР!R7</f>
        <v>1.2182725889121064</v>
      </c>
      <c r="J6" s="67">
        <f>H6/I6</f>
        <v>0.7810045623370868</v>
      </c>
      <c r="K6" s="116">
        <v>1.228</v>
      </c>
      <c r="L6" s="81"/>
      <c r="M6" s="23"/>
    </row>
    <row r="7" spans="1:13" ht="17.25" customHeight="1">
      <c r="A7" s="87" t="s">
        <v>135</v>
      </c>
      <c r="B7" s="133">
        <f>ИДП!D6</f>
        <v>0.9315012131992262</v>
      </c>
      <c r="C7" s="133">
        <f>+ИБР!R8</f>
        <v>1.2313357224150479</v>
      </c>
      <c r="D7" s="67">
        <f>B7/C7</f>
        <v>0.756496539686391</v>
      </c>
      <c r="E7" s="133">
        <f>ИДП!G6</f>
        <v>0.9192605891635544</v>
      </c>
      <c r="F7" s="133">
        <f>ИБР!R8</f>
        <v>1.2313357224150479</v>
      </c>
      <c r="G7" s="67">
        <f aca="true" t="shared" si="0" ref="G7:G13">E7/F7</f>
        <v>0.746555608214295</v>
      </c>
      <c r="H7" s="133">
        <f>ИДП!J6</f>
        <v>0.899934547490915</v>
      </c>
      <c r="I7" s="133">
        <f>ИБР!R8</f>
        <v>1.2313357224150479</v>
      </c>
      <c r="J7" s="67">
        <f aca="true" t="shared" si="1" ref="J7:J13">H7/I7</f>
        <v>0.7308604234480033</v>
      </c>
      <c r="K7" s="116">
        <v>0.336</v>
      </c>
      <c r="L7" s="81"/>
      <c r="M7" s="23"/>
    </row>
    <row r="8" spans="1:13" ht="15.75" customHeight="1">
      <c r="A8" s="87" t="s">
        <v>136</v>
      </c>
      <c r="B8" s="133">
        <f>ИДП!D7</f>
        <v>0.7015813679930111</v>
      </c>
      <c r="C8" s="133">
        <f>+ИБР!R9</f>
        <v>1.7130213588930148</v>
      </c>
      <c r="D8" s="67">
        <f aca="true" t="shared" si="2" ref="D8:D13">B8/C8</f>
        <v>0.40955786356708684</v>
      </c>
      <c r="E8" s="133">
        <f>ИДП!G7</f>
        <v>0.7256636444986726</v>
      </c>
      <c r="F8" s="133">
        <f>ИБР!R9</f>
        <v>1.7130213588930148</v>
      </c>
      <c r="G8" s="67">
        <f t="shared" si="0"/>
        <v>0.4236162268096934</v>
      </c>
      <c r="H8" s="133">
        <f>ИДП!J7</f>
        <v>0.784358882888058</v>
      </c>
      <c r="I8" s="133">
        <f>ИБР!R9</f>
        <v>1.7130213588930148</v>
      </c>
      <c r="J8" s="67">
        <f t="shared" si="1"/>
        <v>0.4578803870810606</v>
      </c>
      <c r="K8" s="116">
        <v>0.214</v>
      </c>
      <c r="L8" s="81"/>
      <c r="M8" s="23"/>
    </row>
    <row r="9" spans="1:13" ht="17.25" customHeight="1">
      <c r="A9" s="87" t="s">
        <v>137</v>
      </c>
      <c r="B9" s="133">
        <f>ИДП!D8</f>
        <v>0.9353936070252546</v>
      </c>
      <c r="C9" s="133">
        <f>+ИБР!R10</f>
        <v>2.9603952514046226</v>
      </c>
      <c r="D9" s="67">
        <f t="shared" si="2"/>
        <v>0.31596916208450115</v>
      </c>
      <c r="E9" s="133">
        <f>ИДП!G8</f>
        <v>1.0068777372364943</v>
      </c>
      <c r="F9" s="133">
        <f>ИБР!R10</f>
        <v>2.9603952514046226</v>
      </c>
      <c r="G9" s="67">
        <f t="shared" si="0"/>
        <v>0.34011598172870994</v>
      </c>
      <c r="H9" s="133">
        <f>ИДП!J8</f>
        <v>1.146554541149578</v>
      </c>
      <c r="I9" s="133">
        <f>ИБР!R10</f>
        <v>2.9603952514046226</v>
      </c>
      <c r="J9" s="67">
        <f t="shared" si="1"/>
        <v>0.387297790930306</v>
      </c>
      <c r="K9" s="116">
        <v>0.341</v>
      </c>
      <c r="L9" s="81"/>
      <c r="M9" s="23"/>
    </row>
    <row r="10" spans="1:13" ht="18" customHeight="1">
      <c r="A10" s="87" t="s">
        <v>138</v>
      </c>
      <c r="B10" s="133">
        <f>ИДП!D9</f>
        <v>0.7692543990114982</v>
      </c>
      <c r="C10" s="133">
        <f>+ИБР!R11</f>
        <v>1.4836134848480969</v>
      </c>
      <c r="D10" s="67">
        <f t="shared" si="2"/>
        <v>0.5185005440215853</v>
      </c>
      <c r="E10" s="133">
        <f>ИДП!G9</f>
        <v>0.7726886889485381</v>
      </c>
      <c r="F10" s="133">
        <f>ИБР!R11</f>
        <v>1.4836134848480969</v>
      </c>
      <c r="G10" s="67">
        <f t="shared" si="0"/>
        <v>0.5208153584743479</v>
      </c>
      <c r="H10" s="133">
        <f>ИДП!J9</f>
        <v>0.8012145217996797</v>
      </c>
      <c r="I10" s="133">
        <f>ИБР!R11</f>
        <v>1.4836134848480969</v>
      </c>
      <c r="J10" s="67">
        <f t="shared" si="1"/>
        <v>0.54004262564499</v>
      </c>
      <c r="K10" s="116">
        <v>0.267</v>
      </c>
      <c r="L10" s="81"/>
      <c r="M10" s="23"/>
    </row>
    <row r="11" spans="1:13" ht="19.5" customHeight="1">
      <c r="A11" s="87" t="s">
        <v>139</v>
      </c>
      <c r="B11" s="133">
        <f>ИДП!D10</f>
        <v>1.3102152203737325</v>
      </c>
      <c r="C11" s="133">
        <f>+ИБР!R12</f>
        <v>1.5946262674043417</v>
      </c>
      <c r="D11" s="67">
        <f t="shared" si="2"/>
        <v>0.8216440724424036</v>
      </c>
      <c r="E11" s="133">
        <f>ИДП!G10</f>
        <v>1.2929980104644418</v>
      </c>
      <c r="F11" s="133">
        <f>ИБР!R12</f>
        <v>1.5946262674043417</v>
      </c>
      <c r="G11" s="67">
        <f t="shared" si="0"/>
        <v>0.8108470535664283</v>
      </c>
      <c r="H11" s="133">
        <f>ИДП!J10</f>
        <v>1.2521098868515825</v>
      </c>
      <c r="I11" s="133">
        <f>ИБР!R12</f>
        <v>1.5946262674043417</v>
      </c>
      <c r="J11" s="67">
        <f t="shared" si="1"/>
        <v>0.7852058582289057</v>
      </c>
      <c r="K11" s="116">
        <v>0.347</v>
      </c>
      <c r="L11" s="81"/>
      <c r="M11" s="23"/>
    </row>
    <row r="12" spans="1:13" ht="18" customHeight="1">
      <c r="A12" s="87" t="s">
        <v>140</v>
      </c>
      <c r="B12" s="133">
        <f>ИДП!D11</f>
        <v>0.7073460697186889</v>
      </c>
      <c r="C12" s="133">
        <f>+ИБР!R13</f>
        <v>1.8939792804519788</v>
      </c>
      <c r="D12" s="67">
        <f t="shared" si="2"/>
        <v>0.3734708594857954</v>
      </c>
      <c r="E12" s="133">
        <f>ИДП!G11</f>
        <v>0.7413399406922987</v>
      </c>
      <c r="F12" s="133">
        <f>ИБР!R13</f>
        <v>1.8939792804519788</v>
      </c>
      <c r="G12" s="67">
        <f t="shared" si="0"/>
        <v>0.3914192453654432</v>
      </c>
      <c r="H12" s="133">
        <f>ИДП!J11</f>
        <v>0.8156693382151394</v>
      </c>
      <c r="I12" s="133">
        <f>ИБР!R13</f>
        <v>1.8939792804519788</v>
      </c>
      <c r="J12" s="67">
        <f t="shared" si="1"/>
        <v>0.4306643407527078</v>
      </c>
      <c r="K12" s="116">
        <v>0.285</v>
      </c>
      <c r="L12" s="81"/>
      <c r="M12" s="23"/>
    </row>
    <row r="13" spans="1:13" ht="28.5" customHeight="1">
      <c r="A13" s="87" t="s">
        <v>141</v>
      </c>
      <c r="B13" s="133">
        <f>ИДП!D12</f>
        <v>1.5437148677289505</v>
      </c>
      <c r="C13" s="133">
        <f>+ИБР!R14</f>
        <v>1.6272432378236796</v>
      </c>
      <c r="D13" s="67">
        <f t="shared" si="2"/>
        <v>0.9486687864769116</v>
      </c>
      <c r="E13" s="133">
        <f>ИДП!G12</f>
        <v>1.523429297461952</v>
      </c>
      <c r="F13" s="133">
        <f>ИБР!R14</f>
        <v>1.6272432378236796</v>
      </c>
      <c r="G13" s="67">
        <f t="shared" si="0"/>
        <v>0.9362025676624897</v>
      </c>
      <c r="H13" s="133">
        <f>ИДП!J12</f>
        <v>1.4501481311056297</v>
      </c>
      <c r="I13" s="133">
        <f>ИБР!R14</f>
        <v>1.6272432378236796</v>
      </c>
      <c r="J13" s="67">
        <f t="shared" si="1"/>
        <v>0.891168632567248</v>
      </c>
      <c r="K13" s="116">
        <v>0.281</v>
      </c>
      <c r="L13" s="81"/>
      <c r="M13" s="23"/>
    </row>
    <row r="14" spans="1:12" ht="18.75" customHeight="1">
      <c r="A14" s="34" t="s">
        <v>68</v>
      </c>
      <c r="B14" s="67"/>
      <c r="C14" s="133"/>
      <c r="D14" s="67"/>
      <c r="E14" s="133"/>
      <c r="F14" s="133"/>
      <c r="G14" s="67"/>
      <c r="H14" s="133"/>
      <c r="I14" s="133"/>
      <c r="J14" s="133"/>
      <c r="K14" s="117"/>
      <c r="L14" s="82"/>
    </row>
    <row r="15" spans="1:12" ht="24" customHeight="1">
      <c r="A15" s="58" t="s">
        <v>92</v>
      </c>
      <c r="B15" s="134"/>
      <c r="C15" s="134"/>
      <c r="D15" s="119">
        <f>(D13+D11+D12+D9)/4</f>
        <v>0.614938220122403</v>
      </c>
      <c r="E15" s="134"/>
      <c r="F15" s="134"/>
      <c r="G15" s="119">
        <f>(G13+G9)/2</f>
        <v>0.6381592746955997</v>
      </c>
      <c r="H15" s="134"/>
      <c r="I15" s="134"/>
      <c r="J15" s="119"/>
      <c r="K15" s="44"/>
      <c r="L15" s="44"/>
    </row>
    <row r="16" spans="1:5" ht="18.75" customHeight="1" hidden="1">
      <c r="A16" s="258"/>
      <c r="B16" s="258"/>
      <c r="C16" s="258"/>
      <c r="D16" s="134">
        <f>+(D13+D9)/2</f>
        <v>0.6323189742807064</v>
      </c>
      <c r="E16" s="77"/>
    </row>
  </sheetData>
  <sheetProtection/>
  <mergeCells count="5">
    <mergeCell ref="A2:J2"/>
    <mergeCell ref="H3:J3"/>
    <mergeCell ref="A16:C16"/>
    <mergeCell ref="B3:D3"/>
    <mergeCell ref="E3:G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2" sqref="A2:N3"/>
    </sheetView>
  </sheetViews>
  <sheetFormatPr defaultColWidth="9.00390625" defaultRowHeight="12.75"/>
  <cols>
    <col min="1" max="1" width="9.125" style="105" customWidth="1"/>
    <col min="2" max="2" width="23.125" style="105" customWidth="1"/>
    <col min="3" max="3" width="10.25390625" style="105" customWidth="1"/>
    <col min="4" max="4" width="9.875" style="105" customWidth="1"/>
    <col min="5" max="5" width="12.125" style="105" customWidth="1"/>
    <col min="6" max="6" width="10.375" style="105" customWidth="1"/>
    <col min="7" max="7" width="9.125" style="105" customWidth="1"/>
    <col min="8" max="8" width="11.75390625" style="105" customWidth="1"/>
    <col min="9" max="9" width="10.25390625" style="105" customWidth="1"/>
    <col min="10" max="13" width="9.125" style="105" customWidth="1"/>
    <col min="14" max="14" width="10.75390625" style="105" customWidth="1"/>
    <col min="15" max="16384" width="9.125" style="105" customWidth="1"/>
  </cols>
  <sheetData>
    <row r="1" ht="12.75">
      <c r="L1" s="105" t="s">
        <v>188</v>
      </c>
    </row>
    <row r="2" spans="1:14" ht="12.75" customHeight="1">
      <c r="A2" s="263" t="s">
        <v>158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</row>
    <row r="3" spans="1:14" ht="33" customHeight="1">
      <c r="A3" s="263"/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</row>
    <row r="5" spans="1:14" ht="25.5" customHeight="1">
      <c r="A5" s="264" t="s">
        <v>0</v>
      </c>
      <c r="B5" s="264" t="s">
        <v>1</v>
      </c>
      <c r="C5" s="262" t="s">
        <v>105</v>
      </c>
      <c r="D5" s="262"/>
      <c r="E5" s="262"/>
      <c r="F5" s="262" t="s">
        <v>96</v>
      </c>
      <c r="G5" s="262"/>
      <c r="H5" s="262"/>
      <c r="I5" s="262"/>
      <c r="J5" s="262" t="s">
        <v>101</v>
      </c>
      <c r="K5" s="262"/>
      <c r="L5" s="262"/>
      <c r="M5" s="262"/>
      <c r="N5" s="262"/>
    </row>
    <row r="6" spans="1:15" ht="63.75">
      <c r="A6" s="264"/>
      <c r="B6" s="264"/>
      <c r="C6" s="120" t="s">
        <v>79</v>
      </c>
      <c r="D6" s="121" t="s">
        <v>97</v>
      </c>
      <c r="E6" s="103" t="s">
        <v>98</v>
      </c>
      <c r="F6" s="120" t="s">
        <v>79</v>
      </c>
      <c r="G6" s="122" t="s">
        <v>97</v>
      </c>
      <c r="H6" s="121" t="s">
        <v>95</v>
      </c>
      <c r="I6" s="103" t="s">
        <v>98</v>
      </c>
      <c r="J6" s="120" t="s">
        <v>79</v>
      </c>
      <c r="K6" s="121" t="s">
        <v>97</v>
      </c>
      <c r="L6" s="122" t="s">
        <v>95</v>
      </c>
      <c r="M6" s="122" t="s">
        <v>102</v>
      </c>
      <c r="N6" s="103" t="s">
        <v>98</v>
      </c>
      <c r="O6" s="123"/>
    </row>
    <row r="7" spans="1:14" s="127" customFormat="1" ht="12.75">
      <c r="A7" s="124">
        <v>1</v>
      </c>
      <c r="B7" s="124">
        <v>2</v>
      </c>
      <c r="C7" s="125">
        <v>3</v>
      </c>
      <c r="D7" s="126"/>
      <c r="E7" s="126"/>
      <c r="F7" s="125">
        <v>3</v>
      </c>
      <c r="G7" s="124"/>
      <c r="H7" s="126"/>
      <c r="I7" s="126"/>
      <c r="J7" s="125">
        <v>3</v>
      </c>
      <c r="K7" s="126"/>
      <c r="L7" s="124"/>
      <c r="M7" s="124"/>
      <c r="N7" s="126"/>
    </row>
    <row r="8" spans="1:14" ht="25.5">
      <c r="A8" s="107">
        <v>1</v>
      </c>
      <c r="B8" s="108" t="s">
        <v>134</v>
      </c>
      <c r="C8" s="128">
        <f>'Налоговый потен'!M7</f>
        <v>10511.332001014836</v>
      </c>
      <c r="D8" s="128">
        <f>'субв от числ уточ'!D6</f>
        <v>2297.617835357543</v>
      </c>
      <c r="E8" s="128">
        <f>+C8+D8</f>
        <v>12808.94983637238</v>
      </c>
      <c r="F8" s="128">
        <f>+C8</f>
        <v>10511.332001014836</v>
      </c>
      <c r="G8" s="129">
        <f>D8</f>
        <v>2297.617835357543</v>
      </c>
      <c r="H8" s="128">
        <f>'Дотац 4000'!J6</f>
        <v>0</v>
      </c>
      <c r="I8" s="128">
        <f>F8+G8+H8</f>
        <v>12808.94983637238</v>
      </c>
      <c r="J8" s="128">
        <f>'Налоговый потен'!M7</f>
        <v>10511.332001014836</v>
      </c>
      <c r="K8" s="128">
        <f>'субв от числ уточ'!D6</f>
        <v>2297.617835357543</v>
      </c>
      <c r="L8" s="129">
        <f>'Дотац 4000'!J6</f>
        <v>0</v>
      </c>
      <c r="M8" s="129">
        <f>'Дотац 4000'!N6</f>
        <v>325.8139051632982</v>
      </c>
      <c r="N8" s="128">
        <f>J8+L8+K8+M8</f>
        <v>13134.763741535678</v>
      </c>
    </row>
    <row r="9" spans="1:14" ht="12.75">
      <c r="A9" s="107">
        <v>2</v>
      </c>
      <c r="B9" s="108" t="s">
        <v>135</v>
      </c>
      <c r="C9" s="128">
        <f>'Налоговый потен'!M8</f>
        <v>8692.482962734717</v>
      </c>
      <c r="D9" s="128">
        <f>'субв от числ уточ'!D7</f>
        <v>2059.884580670563</v>
      </c>
      <c r="E9" s="128">
        <f aca="true" t="shared" si="0" ref="E9:E15">+C9+D9</f>
        <v>10752.36754340528</v>
      </c>
      <c r="F9" s="128">
        <f aca="true" t="shared" si="1" ref="F9:F15">C9</f>
        <v>8692.482962734717</v>
      </c>
      <c r="G9" s="129">
        <f aca="true" t="shared" si="2" ref="G9:G15">D9</f>
        <v>2059.884580670563</v>
      </c>
      <c r="H9" s="128">
        <f>'Дотац 4000'!J7</f>
        <v>0</v>
      </c>
      <c r="I9" s="128">
        <f aca="true" t="shared" si="3" ref="I9:I15">F9+G9+H9</f>
        <v>10752.36754340528</v>
      </c>
      <c r="J9" s="128">
        <f>'Налоговый потен'!M8</f>
        <v>8692.482962734717</v>
      </c>
      <c r="K9" s="128">
        <f>'субв от числ уточ'!D7</f>
        <v>2059.884580670563</v>
      </c>
      <c r="L9" s="129">
        <f>'Дотац 4000'!J7</f>
        <v>0</v>
      </c>
      <c r="M9" s="129">
        <f>'Дотац 4000'!N7</f>
        <v>385.4535858877973</v>
      </c>
      <c r="N9" s="128">
        <f aca="true" t="shared" si="4" ref="N9:N15">J9+L9+K9+M9</f>
        <v>11137.821129293077</v>
      </c>
    </row>
    <row r="10" spans="1:14" ht="25.5">
      <c r="A10" s="107">
        <v>3</v>
      </c>
      <c r="B10" s="108" t="s">
        <v>136</v>
      </c>
      <c r="C10" s="128">
        <f>'Налоговый потен'!M9</f>
        <v>4318.979438028699</v>
      </c>
      <c r="D10" s="128">
        <f>'субв от числ уточ'!D8</f>
        <v>1473.311283126874</v>
      </c>
      <c r="E10" s="128">
        <f t="shared" si="0"/>
        <v>5792.290721155574</v>
      </c>
      <c r="F10" s="128">
        <f t="shared" si="1"/>
        <v>4318.979438028699</v>
      </c>
      <c r="G10" s="129">
        <f t="shared" si="2"/>
        <v>1473.311283126874</v>
      </c>
      <c r="H10" s="128">
        <f>'Дотац 4000'!J8</f>
        <v>278.6005352235699</v>
      </c>
      <c r="I10" s="128">
        <f t="shared" si="3"/>
        <v>6070.891256379144</v>
      </c>
      <c r="J10" s="128">
        <f>'Налоговый потен'!M9</f>
        <v>4318.979438028699</v>
      </c>
      <c r="K10" s="128">
        <f>'субв от числ уточ'!D8</f>
        <v>1473.311283126874</v>
      </c>
      <c r="L10" s="129">
        <f>'Дотац 4000'!J8</f>
        <v>278.6005352235699</v>
      </c>
      <c r="M10" s="129">
        <f>'Дотац 4000'!N8</f>
        <v>872.2461828439452</v>
      </c>
      <c r="N10" s="128">
        <f t="shared" si="4"/>
        <v>6943.137439223089</v>
      </c>
    </row>
    <row r="11" spans="1:14" ht="25.5">
      <c r="A11" s="107">
        <v>4</v>
      </c>
      <c r="B11" s="108" t="s">
        <v>137</v>
      </c>
      <c r="C11" s="128">
        <f>'Налоговый потен'!M10</f>
        <v>2497.0449337566833</v>
      </c>
      <c r="D11" s="128">
        <f>'субв от числ уточ'!D9</f>
        <v>588.6896173183511</v>
      </c>
      <c r="E11" s="128">
        <f t="shared" si="0"/>
        <v>3085.7345510750347</v>
      </c>
      <c r="F11" s="128">
        <f t="shared" si="1"/>
        <v>2497.0449337566833</v>
      </c>
      <c r="G11" s="129">
        <f t="shared" si="2"/>
        <v>588.6896173183511</v>
      </c>
      <c r="H11" s="128">
        <f>'Дотац 4000'!J9</f>
        <v>280.04515816508894</v>
      </c>
      <c r="I11" s="128">
        <f t="shared" si="3"/>
        <v>3365.779709240124</v>
      </c>
      <c r="J11" s="128">
        <f>'Налоговый потен'!M10</f>
        <v>2497.0449337566833</v>
      </c>
      <c r="K11" s="128">
        <f>'субв от числ уточ'!D9</f>
        <v>588.6896173183511</v>
      </c>
      <c r="L11" s="129">
        <f>'Дотац 4000'!J9</f>
        <v>280.04515816508894</v>
      </c>
      <c r="M11" s="129">
        <f>'Дотац 4000'!N9</f>
        <v>689.56264119943</v>
      </c>
      <c r="N11" s="128">
        <f t="shared" si="4"/>
        <v>4055.3423504395532</v>
      </c>
    </row>
    <row r="12" spans="1:14" ht="12.75">
      <c r="A12" s="107">
        <v>5</v>
      </c>
      <c r="B12" s="108" t="s">
        <v>138</v>
      </c>
      <c r="C12" s="128">
        <f>'Налоговый потен'!M11</f>
        <v>4883.530102555171</v>
      </c>
      <c r="D12" s="128">
        <f>'субв от числ уточ'!D10</f>
        <v>1475.0748829390918</v>
      </c>
      <c r="E12" s="128">
        <f t="shared" si="0"/>
        <v>6358.604985494263</v>
      </c>
      <c r="F12" s="128">
        <f t="shared" si="1"/>
        <v>4883.530102555171</v>
      </c>
      <c r="G12" s="129">
        <f t="shared" si="2"/>
        <v>1475.0748829390918</v>
      </c>
      <c r="H12" s="128">
        <f>'Дотац 4000'!J10</f>
        <v>113.43506562671494</v>
      </c>
      <c r="I12" s="128">
        <f t="shared" si="3"/>
        <v>6472.040051120978</v>
      </c>
      <c r="J12" s="128">
        <f>'Налоговый потен'!M11</f>
        <v>4883.530102555171</v>
      </c>
      <c r="K12" s="128">
        <f>'субв от числ уточ'!D10</f>
        <v>1475.0748829390918</v>
      </c>
      <c r="L12" s="129">
        <f>'Дотац 4000'!J10</f>
        <v>113.43506562671494</v>
      </c>
      <c r="M12" s="129">
        <f>'Дотац 4000'!N10</f>
        <v>628.7931023703903</v>
      </c>
      <c r="N12" s="128">
        <f t="shared" si="4"/>
        <v>7100.833153491368</v>
      </c>
    </row>
    <row r="13" spans="1:14" ht="25.5">
      <c r="A13" s="107">
        <v>6</v>
      </c>
      <c r="B13" s="108" t="s">
        <v>139</v>
      </c>
      <c r="C13" s="128">
        <f>'Налоговый потен'!M12</f>
        <v>10827.012608949519</v>
      </c>
      <c r="D13" s="128">
        <f>'субв от числ уточ'!D11</f>
        <v>1707.1646182269737</v>
      </c>
      <c r="E13" s="128">
        <f t="shared" si="0"/>
        <v>12534.177227176493</v>
      </c>
      <c r="F13" s="128">
        <f t="shared" si="1"/>
        <v>10827.012608949519</v>
      </c>
      <c r="G13" s="129">
        <f t="shared" si="2"/>
        <v>1707.1646182269737</v>
      </c>
      <c r="H13" s="128">
        <f>'Дотац 4000'!J11</f>
        <v>0</v>
      </c>
      <c r="I13" s="128">
        <f t="shared" si="3"/>
        <v>12534.177227176493</v>
      </c>
      <c r="J13" s="128">
        <f>'Налоговый потен'!M12</f>
        <v>10827.012608949519</v>
      </c>
      <c r="K13" s="128">
        <f>'субв от числ уточ'!D11</f>
        <v>1707.1646182269737</v>
      </c>
      <c r="L13" s="129">
        <f>'Дотац 4000'!J11</f>
        <v>0</v>
      </c>
      <c r="M13" s="129">
        <f>'Дотац 4000'!N11</f>
        <v>308.7574635874456</v>
      </c>
      <c r="N13" s="128">
        <f t="shared" si="4"/>
        <v>12842.93469076394</v>
      </c>
    </row>
    <row r="14" spans="1:14" ht="25.5">
      <c r="A14" s="107">
        <v>7</v>
      </c>
      <c r="B14" s="108" t="s">
        <v>140</v>
      </c>
      <c r="C14" s="128">
        <f>'Налоговый потен'!M13</f>
        <v>2374.069311961532</v>
      </c>
      <c r="D14" s="128">
        <f>'субв от числ уточ'!D12</f>
        <v>801.0270347093921</v>
      </c>
      <c r="E14" s="128">
        <f t="shared" si="0"/>
        <v>3175.096346670924</v>
      </c>
      <c r="F14" s="128">
        <f t="shared" si="1"/>
        <v>2374.069311961532</v>
      </c>
      <c r="G14" s="129">
        <f t="shared" si="2"/>
        <v>801.0270347093921</v>
      </c>
      <c r="H14" s="128">
        <f>'Дотац 4000'!J12</f>
        <v>196.9003928274483</v>
      </c>
      <c r="I14" s="128">
        <f t="shared" si="3"/>
        <v>3371.9967394983723</v>
      </c>
      <c r="J14" s="128">
        <f>'Налоговый потен'!M13</f>
        <v>2374.069311961532</v>
      </c>
      <c r="K14" s="128">
        <f>'субв от числ уточ'!D12</f>
        <v>801.0270347093921</v>
      </c>
      <c r="L14" s="129">
        <f>'Дотац 4000'!J12</f>
        <v>196.9003928274483</v>
      </c>
      <c r="M14" s="129">
        <f>'Дотац 4000'!N12</f>
        <v>553.618572030445</v>
      </c>
      <c r="N14" s="128">
        <f t="shared" si="4"/>
        <v>3925.615311528817</v>
      </c>
    </row>
    <row r="15" spans="1:14" ht="25.5">
      <c r="A15" s="107">
        <v>8</v>
      </c>
      <c r="B15" s="108" t="s">
        <v>141</v>
      </c>
      <c r="C15" s="128">
        <f>'Налоговый потен'!M14</f>
        <v>9509.548640998846</v>
      </c>
      <c r="D15" s="128">
        <f>'субв от числ уточ'!D13</f>
        <v>1242.98514765121</v>
      </c>
      <c r="E15" s="128">
        <f t="shared" si="0"/>
        <v>10752.533788650057</v>
      </c>
      <c r="F15" s="128">
        <f t="shared" si="1"/>
        <v>9509.548640998846</v>
      </c>
      <c r="G15" s="129">
        <f t="shared" si="2"/>
        <v>1242.98514765121</v>
      </c>
      <c r="H15" s="128">
        <f>'Дотац 4000'!J13</f>
        <v>0</v>
      </c>
      <c r="I15" s="128">
        <f t="shared" si="3"/>
        <v>10752.533788650057</v>
      </c>
      <c r="J15" s="128">
        <f>'Налоговый потен'!M14</f>
        <v>9509.548640998846</v>
      </c>
      <c r="K15" s="128">
        <f>'субв от числ уточ'!D13</f>
        <v>1242.98514765121</v>
      </c>
      <c r="L15" s="129">
        <f>'Дотац 4000'!J13</f>
        <v>0</v>
      </c>
      <c r="M15" s="129">
        <f>'Дотац 4000'!N13</f>
        <v>77.37339507442587</v>
      </c>
      <c r="N15" s="128">
        <f t="shared" si="4"/>
        <v>10829.907183724483</v>
      </c>
    </row>
    <row r="16" spans="1:14" ht="12.75">
      <c r="A16" s="107"/>
      <c r="B16" s="103" t="s">
        <v>14</v>
      </c>
      <c r="C16" s="130">
        <f aca="true" t="shared" si="5" ref="C16:N16">SUM(C8:C15)</f>
        <v>53614</v>
      </c>
      <c r="D16" s="130">
        <f t="shared" si="5"/>
        <v>11645.755</v>
      </c>
      <c r="E16" s="130">
        <f t="shared" si="5"/>
        <v>65259.755000000005</v>
      </c>
      <c r="F16" s="130">
        <f t="shared" si="5"/>
        <v>53614</v>
      </c>
      <c r="G16" s="130">
        <f t="shared" si="5"/>
        <v>11645.755</v>
      </c>
      <c r="H16" s="130">
        <f t="shared" si="5"/>
        <v>868.9811518428221</v>
      </c>
      <c r="I16" s="130">
        <f t="shared" si="5"/>
        <v>66128.73615184284</v>
      </c>
      <c r="J16" s="130">
        <f t="shared" si="5"/>
        <v>53614</v>
      </c>
      <c r="K16" s="130">
        <f t="shared" si="5"/>
        <v>11645.755</v>
      </c>
      <c r="L16" s="130">
        <f t="shared" si="5"/>
        <v>868.9811518428221</v>
      </c>
      <c r="M16" s="130">
        <f t="shared" si="5"/>
        <v>3841.6188481571776</v>
      </c>
      <c r="N16" s="130">
        <f t="shared" si="5"/>
        <v>69970.35500000001</v>
      </c>
    </row>
    <row r="17" spans="2:10" ht="12.75">
      <c r="B17" s="123"/>
      <c r="C17" s="131"/>
      <c r="F17" s="131"/>
      <c r="J17" s="131"/>
    </row>
    <row r="18" ht="12.75">
      <c r="B18" s="132"/>
    </row>
  </sheetData>
  <sheetProtection/>
  <mergeCells count="6">
    <mergeCell ref="F5:I5"/>
    <mergeCell ref="C5:E5"/>
    <mergeCell ref="J5:N5"/>
    <mergeCell ref="A2:N3"/>
    <mergeCell ref="B5:B6"/>
    <mergeCell ref="A5:A6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zoomScalePageLayoutView="0" workbookViewId="0" topLeftCell="A1">
      <selection activeCell="I1" sqref="I1"/>
    </sheetView>
  </sheetViews>
  <sheetFormatPr defaultColWidth="9.00390625" defaultRowHeight="12.75"/>
  <cols>
    <col min="1" max="1" width="26.00390625" style="0" customWidth="1"/>
    <col min="2" max="2" width="13.75390625" style="0" customWidth="1"/>
    <col min="3" max="3" width="12.25390625" style="0" customWidth="1"/>
    <col min="4" max="4" width="14.00390625" style="0" customWidth="1"/>
    <col min="6" max="6" width="11.25390625" style="0" customWidth="1"/>
    <col min="7" max="7" width="14.875" style="0" customWidth="1"/>
    <col min="9" max="9" width="10.125" style="0" customWidth="1"/>
    <col min="10" max="10" width="14.875" style="0" customWidth="1"/>
  </cols>
  <sheetData>
    <row r="1" ht="12.75">
      <c r="I1" t="s">
        <v>189</v>
      </c>
    </row>
    <row r="2" spans="1:10" ht="68.25" customHeight="1">
      <c r="A2" s="265" t="s">
        <v>190</v>
      </c>
      <c r="B2" s="265"/>
      <c r="C2" s="265"/>
      <c r="D2" s="265"/>
      <c r="E2" s="265"/>
      <c r="F2" s="265"/>
      <c r="G2" s="265"/>
      <c r="H2" s="265"/>
      <c r="I2" s="265"/>
      <c r="J2" s="265"/>
    </row>
    <row r="3" spans="1:11" ht="39" customHeight="1">
      <c r="A3" s="266" t="s">
        <v>1</v>
      </c>
      <c r="B3" s="249" t="s">
        <v>106</v>
      </c>
      <c r="C3" s="249"/>
      <c r="D3" s="249"/>
      <c r="E3" s="249" t="s">
        <v>118</v>
      </c>
      <c r="F3" s="249"/>
      <c r="G3" s="249"/>
      <c r="H3" s="249" t="s">
        <v>113</v>
      </c>
      <c r="I3" s="249"/>
      <c r="J3" s="249"/>
      <c r="K3" s="61"/>
    </row>
    <row r="4" spans="1:10" ht="76.5" customHeight="1">
      <c r="A4" s="266"/>
      <c r="B4" s="15" t="s">
        <v>74</v>
      </c>
      <c r="C4" s="14" t="s">
        <v>77</v>
      </c>
      <c r="D4" s="57" t="s">
        <v>78</v>
      </c>
      <c r="E4" s="15" t="s">
        <v>74</v>
      </c>
      <c r="F4" s="14" t="s">
        <v>77</v>
      </c>
      <c r="G4" s="57" t="s">
        <v>78</v>
      </c>
      <c r="H4" s="15" t="s">
        <v>74</v>
      </c>
      <c r="I4" s="14" t="s">
        <v>77</v>
      </c>
      <c r="J4" s="57" t="s">
        <v>78</v>
      </c>
    </row>
    <row r="5" spans="1:10" ht="30" customHeight="1">
      <c r="A5" s="87" t="s">
        <v>134</v>
      </c>
      <c r="B5" s="99">
        <f>'субв от числ уточ'!C6</f>
        <v>6514</v>
      </c>
      <c r="C5" s="53">
        <f>+ДП!E8</f>
        <v>12808.94983637238</v>
      </c>
      <c r="D5" s="5">
        <f>(C5/B5)/(C13/B13)</f>
        <v>0.9948507720604309</v>
      </c>
      <c r="E5" s="100">
        <f>B5</f>
        <v>6514</v>
      </c>
      <c r="F5" s="53">
        <f>ДП!I8</f>
        <v>12808.94983637238</v>
      </c>
      <c r="G5" s="5">
        <f>(F5/E5)/(F13/E13)</f>
        <v>0.9817776873453119</v>
      </c>
      <c r="H5" s="99">
        <f>'Коэф.масшт.'!C5</f>
        <v>6514</v>
      </c>
      <c r="I5" s="53">
        <f>ДП!N8</f>
        <v>13134.763741535678</v>
      </c>
      <c r="J5" s="5">
        <f>(I5/H5)/(I13/H13)</f>
        <v>0.9514764501105694</v>
      </c>
    </row>
    <row r="6" spans="1:10" ht="24" customHeight="1">
      <c r="A6" s="87" t="s">
        <v>135</v>
      </c>
      <c r="B6" s="99">
        <f>'субв от числ уточ'!C7</f>
        <v>5840</v>
      </c>
      <c r="C6" s="53">
        <f>+ДП!E9</f>
        <v>10752.36754340528</v>
      </c>
      <c r="D6" s="5">
        <f>(C6/B6)/(C13/B13)</f>
        <v>0.9315012131992262</v>
      </c>
      <c r="E6" s="100">
        <f aca="true" t="shared" si="0" ref="E6:E12">B6</f>
        <v>5840</v>
      </c>
      <c r="F6" s="53">
        <f>ДП!I9</f>
        <v>10752.36754340528</v>
      </c>
      <c r="G6" s="5">
        <f>(F6/E6)/(F13/E13)</f>
        <v>0.9192605891635544</v>
      </c>
      <c r="H6" s="99">
        <f>'Коэф.масшт.'!C6</f>
        <v>5840</v>
      </c>
      <c r="I6" s="53">
        <f>ДП!N9</f>
        <v>11137.821129293077</v>
      </c>
      <c r="J6" s="5">
        <f>(I6/H6)/(I13/H13)</f>
        <v>0.899934547490915</v>
      </c>
    </row>
    <row r="7" spans="1:10" ht="26.25" customHeight="1">
      <c r="A7" s="87" t="s">
        <v>136</v>
      </c>
      <c r="B7" s="99">
        <f>'субв от числ уточ'!C8</f>
        <v>4177</v>
      </c>
      <c r="C7" s="53">
        <f>+ДП!E10</f>
        <v>5792.290721155574</v>
      </c>
      <c r="D7" s="5">
        <f>(C7/B7)/(C13/B13)</f>
        <v>0.7015813679930111</v>
      </c>
      <c r="E7" s="100">
        <f t="shared" si="0"/>
        <v>4177</v>
      </c>
      <c r="F7" s="53">
        <f>ДП!I10</f>
        <v>6070.891256379144</v>
      </c>
      <c r="G7" s="5">
        <f>(F7/E7)/(F13/E13)</f>
        <v>0.7256636444986726</v>
      </c>
      <c r="H7" s="99">
        <f>'Коэф.масшт.'!C7</f>
        <v>4177</v>
      </c>
      <c r="I7" s="53">
        <f>ДП!N10</f>
        <v>6943.137439223089</v>
      </c>
      <c r="J7" s="5">
        <f>(I7/H7)/(I13/H13)</f>
        <v>0.784358882888058</v>
      </c>
    </row>
    <row r="8" spans="1:10" ht="29.25" customHeight="1">
      <c r="A8" s="87" t="s">
        <v>137</v>
      </c>
      <c r="B8" s="99">
        <f>'субв от числ уточ'!C9</f>
        <v>1669</v>
      </c>
      <c r="C8" s="53">
        <f>+ДП!E11</f>
        <v>3085.7345510750347</v>
      </c>
      <c r="D8" s="5">
        <f>(C8/B8)/(C13/B13)</f>
        <v>0.9353936070252546</v>
      </c>
      <c r="E8" s="100">
        <f t="shared" si="0"/>
        <v>1669</v>
      </c>
      <c r="F8" s="53">
        <f>ДП!I11</f>
        <v>3365.779709240124</v>
      </c>
      <c r="G8" s="5">
        <f>(F8/E8)/(F13/E13)</f>
        <v>1.0068777372364943</v>
      </c>
      <c r="H8" s="99">
        <f>'Коэф.масшт.'!C8</f>
        <v>1669</v>
      </c>
      <c r="I8" s="53">
        <f>ДП!N11</f>
        <v>4055.3423504395532</v>
      </c>
      <c r="J8" s="5">
        <f>(I8/H8)/(I13/H13)</f>
        <v>1.146554541149578</v>
      </c>
    </row>
    <row r="9" spans="1:10" ht="25.5" customHeight="1">
      <c r="A9" s="87" t="s">
        <v>138</v>
      </c>
      <c r="B9" s="99">
        <f>'субв от числ уточ'!C10</f>
        <v>4182</v>
      </c>
      <c r="C9" s="53">
        <f>+ДП!E12</f>
        <v>6358.604985494263</v>
      </c>
      <c r="D9" s="5">
        <f>(C9/B9)/(C13/B13)</f>
        <v>0.7692543990114982</v>
      </c>
      <c r="E9" s="100">
        <f t="shared" si="0"/>
        <v>4182</v>
      </c>
      <c r="F9" s="53">
        <f>ДП!I12</f>
        <v>6472.040051120978</v>
      </c>
      <c r="G9" s="5">
        <f>(F9/E9)/(F13/E13)</f>
        <v>0.7726886889485381</v>
      </c>
      <c r="H9" s="99">
        <f>'Коэф.масшт.'!C9</f>
        <v>4182</v>
      </c>
      <c r="I9" s="53">
        <f>ДП!N12</f>
        <v>7100.833153491368</v>
      </c>
      <c r="J9" s="5">
        <f>(I9/H9)/(I13/H13)</f>
        <v>0.8012145217996797</v>
      </c>
    </row>
    <row r="10" spans="1:10" ht="27.75" customHeight="1">
      <c r="A10" s="87" t="s">
        <v>139</v>
      </c>
      <c r="B10" s="99">
        <f>'субв от числ уточ'!C11</f>
        <v>4840</v>
      </c>
      <c r="C10" s="53">
        <f>+ДП!E13</f>
        <v>12534.177227176493</v>
      </c>
      <c r="D10" s="5">
        <f>(C10/B10)/(C13/B13)</f>
        <v>1.3102152203737325</v>
      </c>
      <c r="E10" s="100">
        <f t="shared" si="0"/>
        <v>4840</v>
      </c>
      <c r="F10" s="53">
        <f>ДП!I13</f>
        <v>12534.177227176493</v>
      </c>
      <c r="G10" s="5">
        <f>(F10/E10)/(F13/E13)</f>
        <v>1.2929980104644418</v>
      </c>
      <c r="H10" s="99">
        <f>'Коэф.масшт.'!C10</f>
        <v>4840</v>
      </c>
      <c r="I10" s="53">
        <f>ДП!N13</f>
        <v>12842.93469076394</v>
      </c>
      <c r="J10" s="5">
        <f>(I10/H10)/(I13/H13)</f>
        <v>1.2521098868515825</v>
      </c>
    </row>
    <row r="11" spans="1:10" ht="25.5" customHeight="1">
      <c r="A11" s="87" t="s">
        <v>140</v>
      </c>
      <c r="B11" s="99">
        <f>'субв от числ уточ'!C12</f>
        <v>2271</v>
      </c>
      <c r="C11" s="53">
        <f>+ДП!E14</f>
        <v>3175.096346670924</v>
      </c>
      <c r="D11" s="5">
        <f>(C11/B11)/(C13/B13)</f>
        <v>0.7073460697186889</v>
      </c>
      <c r="E11" s="100">
        <f t="shared" si="0"/>
        <v>2271</v>
      </c>
      <c r="F11" s="53">
        <f>ДП!I14</f>
        <v>3371.9967394983723</v>
      </c>
      <c r="G11" s="5">
        <f>(F11/E11)/(F13/E13)</f>
        <v>0.7413399406922987</v>
      </c>
      <c r="H11" s="99">
        <f>'Коэф.масшт.'!C11</f>
        <v>2271</v>
      </c>
      <c r="I11" s="53">
        <f>ДП!N14</f>
        <v>3925.615311528817</v>
      </c>
      <c r="J11" s="5">
        <f>(I11/H11)/(I13/H13)</f>
        <v>0.8156693382151394</v>
      </c>
    </row>
    <row r="12" spans="1:10" ht="26.25" customHeight="1">
      <c r="A12" s="87" t="s">
        <v>141</v>
      </c>
      <c r="B12" s="99">
        <f>'субв от числ уточ'!C13</f>
        <v>3524</v>
      </c>
      <c r="C12" s="53">
        <f>+ДП!E15</f>
        <v>10752.533788650057</v>
      </c>
      <c r="D12" s="5">
        <f>(C12/B12)/(C13/B13)</f>
        <v>1.5437148677289505</v>
      </c>
      <c r="E12" s="100">
        <f t="shared" si="0"/>
        <v>3524</v>
      </c>
      <c r="F12" s="53">
        <f>ДП!I15</f>
        <v>10752.533788650057</v>
      </c>
      <c r="G12" s="5">
        <f>(F12/E12)/(F13/E13)</f>
        <v>1.523429297461952</v>
      </c>
      <c r="H12" s="99">
        <f>'Коэф.масшт.'!C12</f>
        <v>3524</v>
      </c>
      <c r="I12" s="53">
        <f>ДП!N15</f>
        <v>10829.907183724483</v>
      </c>
      <c r="J12" s="5">
        <f>(I12/H12)/(I13/H13)</f>
        <v>1.4501481311056297</v>
      </c>
    </row>
    <row r="13" spans="1:10" ht="18.75" customHeight="1">
      <c r="A13" s="9" t="s">
        <v>68</v>
      </c>
      <c r="B13" s="98">
        <f>SUM(B5:B12)</f>
        <v>33017</v>
      </c>
      <c r="C13" s="52">
        <f>SUM(C5:C12)</f>
        <v>65259.755000000005</v>
      </c>
      <c r="D13" s="17"/>
      <c r="E13" s="101">
        <f>SUM(E5:E12)</f>
        <v>33017</v>
      </c>
      <c r="F13" s="52">
        <f>SUM(F5:F12)</f>
        <v>66128.73615184284</v>
      </c>
      <c r="G13" s="17"/>
      <c r="H13" s="98">
        <f>SUM(H5:H12)</f>
        <v>33017</v>
      </c>
      <c r="I13" s="52">
        <f>SUM(I5:I12)</f>
        <v>69970.35500000001</v>
      </c>
      <c r="J13" s="17"/>
    </row>
    <row r="15" spans="1:3" ht="18.75" customHeight="1">
      <c r="A15" s="59"/>
      <c r="C15" s="56"/>
    </row>
  </sheetData>
  <sheetProtection/>
  <mergeCells count="5">
    <mergeCell ref="A2:J2"/>
    <mergeCell ref="E3:G3"/>
    <mergeCell ref="B3:D3"/>
    <mergeCell ref="H3:J3"/>
    <mergeCell ref="A3:A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L16"/>
  <sheetViews>
    <sheetView zoomScalePageLayoutView="0" workbookViewId="0" topLeftCell="A1">
      <selection activeCell="C10" sqref="C10"/>
    </sheetView>
  </sheetViews>
  <sheetFormatPr defaultColWidth="9.00390625" defaultRowHeight="12.75"/>
  <cols>
    <col min="1" max="1" width="5.625" style="0" customWidth="1"/>
    <col min="2" max="2" width="22.125" style="0" customWidth="1"/>
    <col min="3" max="3" width="12.75390625" style="27" customWidth="1"/>
    <col min="4" max="4" width="15.375" style="16" customWidth="1"/>
    <col min="5" max="6" width="15.375" style="0" customWidth="1"/>
    <col min="7" max="11" width="15.375" style="0" hidden="1" customWidth="1"/>
    <col min="12" max="13" width="0" style="0" hidden="1" customWidth="1"/>
  </cols>
  <sheetData>
    <row r="1" ht="12.75">
      <c r="F1" t="s">
        <v>191</v>
      </c>
    </row>
    <row r="2" spans="1:10" ht="49.5" customHeight="1">
      <c r="A2" s="238" t="s">
        <v>198</v>
      </c>
      <c r="B2" s="238"/>
      <c r="C2" s="238"/>
      <c r="D2" s="238"/>
      <c r="E2" s="238"/>
      <c r="F2" s="238"/>
      <c r="G2" s="8"/>
      <c r="H2" s="8"/>
      <c r="I2" s="8"/>
      <c r="J2" s="8"/>
    </row>
    <row r="3" spans="1:4" ht="12.75">
      <c r="A3" s="8"/>
      <c r="B3" s="8"/>
      <c r="C3" s="26"/>
      <c r="D3" s="51"/>
    </row>
    <row r="5" spans="1:10" s="184" customFormat="1" ht="51">
      <c r="A5" s="182" t="s">
        <v>0</v>
      </c>
      <c r="B5" s="182" t="s">
        <v>1</v>
      </c>
      <c r="C5" s="183" t="s">
        <v>12</v>
      </c>
      <c r="D5" s="181" t="s">
        <v>199</v>
      </c>
      <c r="E5" s="181" t="s">
        <v>200</v>
      </c>
      <c r="F5" s="181" t="s">
        <v>201</v>
      </c>
      <c r="G5" s="212"/>
      <c r="H5" s="212"/>
      <c r="I5" s="212"/>
      <c r="J5" s="212"/>
    </row>
    <row r="6" spans="1:12" ht="30.75" customHeight="1">
      <c r="A6" s="3">
        <v>1</v>
      </c>
      <c r="B6" s="87" t="s">
        <v>134</v>
      </c>
      <c r="C6" s="88">
        <v>6514</v>
      </c>
      <c r="D6" s="210">
        <f>C6*(D14/C14)</f>
        <v>2297.617835357543</v>
      </c>
      <c r="E6" s="210">
        <f>C6*(E14/C14)</f>
        <v>2388.7668797891993</v>
      </c>
      <c r="F6" s="210">
        <f>E6*(F14/E14)</f>
        <v>1951.5079465124027</v>
      </c>
      <c r="G6" s="210">
        <v>2297.61784</v>
      </c>
      <c r="H6" s="210">
        <f>+G6-D6</f>
        <v>4.642457042791648E-06</v>
      </c>
      <c r="I6" s="210">
        <v>2388.76688</v>
      </c>
      <c r="J6" s="210">
        <f>+I6-E6</f>
        <v>2.1080086298752576E-07</v>
      </c>
      <c r="K6" s="210">
        <v>1951.50795</v>
      </c>
      <c r="L6" s="210">
        <f>+K6-F6</f>
        <v>3.487597268758691E-06</v>
      </c>
    </row>
    <row r="7" spans="1:12" ht="30.75" customHeight="1">
      <c r="A7" s="3">
        <v>2</v>
      </c>
      <c r="B7" s="87" t="s">
        <v>135</v>
      </c>
      <c r="C7" s="88">
        <v>5840</v>
      </c>
      <c r="D7" s="210">
        <f>C7*D14/C14</f>
        <v>2059.884580670563</v>
      </c>
      <c r="E7" s="210">
        <f>C7*(E14/C14)</f>
        <v>2141.6024835690705</v>
      </c>
      <c r="F7" s="210">
        <f>E7*F14/E14</f>
        <v>1749.586491807251</v>
      </c>
      <c r="G7" s="210">
        <v>2059.88458</v>
      </c>
      <c r="H7" s="210">
        <f aca="true" t="shared" si="0" ref="H7:H14">+G7-D7</f>
        <v>-6.705631676595658E-07</v>
      </c>
      <c r="I7" s="210">
        <v>2141.60248</v>
      </c>
      <c r="J7" s="210">
        <f aca="true" t="shared" si="1" ref="J7:J14">+I7-E7</f>
        <v>-3.569070486264536E-06</v>
      </c>
      <c r="K7" s="210">
        <v>1749.58649</v>
      </c>
      <c r="L7" s="210">
        <f aca="true" t="shared" si="2" ref="L7:L14">+K7-F7</f>
        <v>-1.8072510101774242E-06</v>
      </c>
    </row>
    <row r="8" spans="1:12" ht="30.75" customHeight="1">
      <c r="A8" s="3">
        <v>3</v>
      </c>
      <c r="B8" s="87" t="s">
        <v>136</v>
      </c>
      <c r="C8" s="88">
        <v>4177</v>
      </c>
      <c r="D8" s="210">
        <f>C8*D14/C14</f>
        <v>1473.311283126874</v>
      </c>
      <c r="E8" s="210">
        <f>C8*(E14/C14)</f>
        <v>1531.7591736075356</v>
      </c>
      <c r="F8" s="210">
        <f>E8*F14/E14</f>
        <v>1251.3737630614532</v>
      </c>
      <c r="G8" s="210">
        <v>1473.31128</v>
      </c>
      <c r="H8" s="210">
        <f t="shared" si="0"/>
        <v>-3.1268741622625384E-06</v>
      </c>
      <c r="I8" s="210">
        <v>1531.75917</v>
      </c>
      <c r="J8" s="210">
        <f t="shared" si="1"/>
        <v>-3.607535518312943E-06</v>
      </c>
      <c r="K8" s="210">
        <v>1251.37376</v>
      </c>
      <c r="L8" s="210">
        <f t="shared" si="2"/>
        <v>-3.06145329886931E-06</v>
      </c>
    </row>
    <row r="9" spans="1:12" ht="30.75" customHeight="1">
      <c r="A9" s="3">
        <v>4</v>
      </c>
      <c r="B9" s="87" t="s">
        <v>137</v>
      </c>
      <c r="C9" s="88">
        <v>1669</v>
      </c>
      <c r="D9" s="210">
        <f>C9*D14/C14</f>
        <v>588.6896173183511</v>
      </c>
      <c r="E9" s="210">
        <f>C9*(E14/C14)</f>
        <v>612.0435864857498</v>
      </c>
      <c r="F9" s="210">
        <f>E9*F14/E14</f>
        <v>500.01024911409274</v>
      </c>
      <c r="G9" s="210">
        <v>588.68962</v>
      </c>
      <c r="H9" s="210">
        <f t="shared" si="0"/>
        <v>2.6816488798431237E-06</v>
      </c>
      <c r="I9" s="210">
        <v>612.04359</v>
      </c>
      <c r="J9" s="210">
        <f t="shared" si="1"/>
        <v>3.514250238367822E-06</v>
      </c>
      <c r="K9" s="210">
        <v>500.010249</v>
      </c>
      <c r="L9" s="210">
        <f t="shared" si="2"/>
        <v>-1.1409275657570106E-07</v>
      </c>
    </row>
    <row r="10" spans="1:12" ht="30.75" customHeight="1">
      <c r="A10" s="3">
        <v>5</v>
      </c>
      <c r="B10" s="87" t="s">
        <v>138</v>
      </c>
      <c r="C10" s="88">
        <v>4182</v>
      </c>
      <c r="D10" s="210">
        <f>C10*D14/C14</f>
        <v>1475.0748829390918</v>
      </c>
      <c r="E10" s="210">
        <f>C10*(E14/C14)</f>
        <v>1533.5927373777145</v>
      </c>
      <c r="F10" s="210">
        <f>E10*F14/E14</f>
        <v>1252.8716967016992</v>
      </c>
      <c r="G10" s="210">
        <v>1475.07488</v>
      </c>
      <c r="H10" s="210">
        <f t="shared" si="0"/>
        <v>-2.939091928055859E-06</v>
      </c>
      <c r="I10" s="210">
        <v>1533.59274</v>
      </c>
      <c r="J10" s="210">
        <f t="shared" si="1"/>
        <v>2.622285592224216E-06</v>
      </c>
      <c r="K10" s="210">
        <v>1252.8717</v>
      </c>
      <c r="L10" s="210">
        <f t="shared" si="2"/>
        <v>3.2983007258735597E-06</v>
      </c>
    </row>
    <row r="11" spans="1:12" ht="30.75" customHeight="1">
      <c r="A11" s="3">
        <v>6</v>
      </c>
      <c r="B11" s="87" t="s">
        <v>139</v>
      </c>
      <c r="C11" s="88">
        <v>4840</v>
      </c>
      <c r="D11" s="210">
        <f>C11*D14/C14</f>
        <v>1707.1646182269737</v>
      </c>
      <c r="E11" s="210">
        <f>C11*(E14/C14)</f>
        <v>1774.8897295332706</v>
      </c>
      <c r="F11" s="210">
        <f>E11*F14/E14</f>
        <v>1449.999763758064</v>
      </c>
      <c r="G11" s="210">
        <v>1707.16462</v>
      </c>
      <c r="H11" s="210">
        <f t="shared" si="0"/>
        <v>1.773026269802358E-06</v>
      </c>
      <c r="I11" s="210">
        <v>1774.88973</v>
      </c>
      <c r="J11" s="210">
        <f t="shared" si="1"/>
        <v>4.6672948883497156E-07</v>
      </c>
      <c r="K11" s="210">
        <v>1449.99976</v>
      </c>
      <c r="L11" s="210">
        <f t="shared" si="2"/>
        <v>-3.758064167413977E-06</v>
      </c>
    </row>
    <row r="12" spans="1:12" ht="30.75" customHeight="1">
      <c r="A12" s="3">
        <v>7</v>
      </c>
      <c r="B12" s="87" t="s">
        <v>140</v>
      </c>
      <c r="C12" s="88">
        <v>2271</v>
      </c>
      <c r="D12" s="210">
        <f>C12*D14/C14</f>
        <v>801.0270347093921</v>
      </c>
      <c r="E12" s="210">
        <f>C12*(E14/C14)</f>
        <v>832.8046644153012</v>
      </c>
      <c r="F12" s="210">
        <f>E12*F14/E14</f>
        <v>680.3614593997032</v>
      </c>
      <c r="G12" s="210">
        <v>801.02703</v>
      </c>
      <c r="H12" s="210">
        <f t="shared" si="0"/>
        <v>-4.7093921011764905E-06</v>
      </c>
      <c r="I12" s="210">
        <v>832.80466</v>
      </c>
      <c r="J12" s="210">
        <f t="shared" si="1"/>
        <v>-4.41530119132949E-06</v>
      </c>
      <c r="K12" s="210">
        <v>680.361459</v>
      </c>
      <c r="L12" s="210">
        <f t="shared" si="2"/>
        <v>-3.997032536062761E-07</v>
      </c>
    </row>
    <row r="13" spans="1:12" ht="30.75" customHeight="1">
      <c r="A13" s="3">
        <v>8</v>
      </c>
      <c r="B13" s="87" t="s">
        <v>141</v>
      </c>
      <c r="C13" s="88">
        <v>3524</v>
      </c>
      <c r="D13" s="210">
        <f>C13*D14/C14</f>
        <v>1242.98514765121</v>
      </c>
      <c r="E13" s="210">
        <f>C13*(E14/C14)</f>
        <v>1292.2957452221583</v>
      </c>
      <c r="F13" s="210">
        <f>E13*F14/E14</f>
        <v>1055.7436296453343</v>
      </c>
      <c r="G13" s="210">
        <v>1242.98515</v>
      </c>
      <c r="H13" s="210">
        <f t="shared" si="0"/>
        <v>2.348790076212026E-06</v>
      </c>
      <c r="I13" s="210">
        <v>1292.29575</v>
      </c>
      <c r="J13" s="210">
        <f t="shared" si="1"/>
        <v>4.777841695613461E-06</v>
      </c>
      <c r="K13" s="210">
        <v>1055.74363</v>
      </c>
      <c r="L13" s="210">
        <f t="shared" si="2"/>
        <v>3.546656444086693E-07</v>
      </c>
    </row>
    <row r="14" spans="1:12" ht="30.75" customHeight="1">
      <c r="A14" s="3"/>
      <c r="B14" s="9" t="s">
        <v>14</v>
      </c>
      <c r="C14" s="19">
        <f>SUM(C6:C13)</f>
        <v>33017</v>
      </c>
      <c r="D14" s="211">
        <f>11649-2.95-0.295</f>
        <v>11645.755</v>
      </c>
      <c r="E14" s="211">
        <f>12111-2.95-0.295</f>
        <v>12107.755</v>
      </c>
      <c r="F14" s="211">
        <f>9894.7-2.95-0.295</f>
        <v>9891.455</v>
      </c>
      <c r="G14" s="213">
        <f>SUM(G6:G13)</f>
        <v>11645.755</v>
      </c>
      <c r="H14" s="210">
        <f t="shared" si="0"/>
        <v>0</v>
      </c>
      <c r="I14" s="213">
        <f>SUM(I6:I13)</f>
        <v>12107.755000000001</v>
      </c>
      <c r="J14" s="210">
        <f t="shared" si="1"/>
        <v>0</v>
      </c>
      <c r="K14" s="213">
        <f>SUM(K6:K13)</f>
        <v>9891.454997999997</v>
      </c>
      <c r="L14" s="210">
        <f t="shared" si="2"/>
        <v>-2.0000024960609153E-06</v>
      </c>
    </row>
    <row r="15" spans="2:4" ht="12.75">
      <c r="B15" s="1"/>
      <c r="D15" s="56"/>
    </row>
    <row r="16" spans="2:4" ht="12.75">
      <c r="B16" s="1"/>
      <c r="C16" s="1"/>
      <c r="D16" s="55"/>
    </row>
  </sheetData>
  <sheetProtection/>
  <mergeCells count="1">
    <mergeCell ref="A2:F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Финанасовый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 Геннадьевна</dc:creator>
  <cp:keywords/>
  <dc:description/>
  <cp:lastModifiedBy>Пользователь</cp:lastModifiedBy>
  <cp:lastPrinted>2019-11-26T12:50:47Z</cp:lastPrinted>
  <dcterms:created xsi:type="dcterms:W3CDTF">2005-11-18T06:27:58Z</dcterms:created>
  <dcterms:modified xsi:type="dcterms:W3CDTF">2019-11-26T12:50:50Z</dcterms:modified>
  <cp:category/>
  <cp:version/>
  <cp:contentType/>
  <cp:contentStatus/>
</cp:coreProperties>
</file>